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15480" windowHeight="10965" activeTab="2"/>
  </bookViews>
  <sheets>
    <sheet name="Instructions" sheetId="1" r:id="rId1"/>
    <sheet name="Scenario #1" sheetId="2" r:id="rId2"/>
    <sheet name="Scenario #2" sheetId="3" r:id="rId3"/>
    <sheet name="Conference Budget Forms" sheetId="4" r:id="rId4"/>
  </sheets>
  <definedNames>
    <definedName name="BuiltIn_Print_Area">'Scenario #1'!$A$1:$H$146</definedName>
    <definedName name="BuiltIn_Print_Area___0">'Conference Budget Forms'!$A$3:$H$209</definedName>
    <definedName name="BuiltIn_Print_Titles">'Scenario #1'!$A$1:$E$15571</definedName>
    <definedName name="doc">'Scenario #1'!$A$11:$E$149</definedName>
    <definedName name="_xlnm.Print_Area" localSheetId="1">'Scenario #1'!$A$1:$P$146</definedName>
    <definedName name="SHARED_FORMULA_0">ROUND(0.7*D1,0)</definedName>
    <definedName name="SHARED_FORMULA_1">ROUND(1.3*IT1,1)</definedName>
    <definedName name="SHARED_FORMULA_10">D1</definedName>
    <definedName name="SHARED_FORMULA_11">IT1</definedName>
    <definedName name="SHARED_FORMULA_12">IP1</definedName>
    <definedName name="SHARED_FORMULA_13">IP1</definedName>
    <definedName name="SHARED_FORMULA_14">IP1</definedName>
    <definedName name="SHARED_FORMULA_15">D1</definedName>
    <definedName name="SHARED_FORMULA_16">IT1</definedName>
    <definedName name="SHARED_FORMULA_17">IP1</definedName>
    <definedName name="SHARED_FORMULA_18">D1</definedName>
    <definedName name="SHARED_FORMULA_19">IT1</definedName>
    <definedName name="SHARED_FORMULA_2">IP1</definedName>
    <definedName name="SHARED_FORMULA_20">IP1</definedName>
    <definedName name="SHARED_FORMULA_3">ROUND(0.7*D1,0)</definedName>
    <definedName name="SHARED_FORMULA_4">ROUND(1.3*IT1,1)</definedName>
    <definedName name="SHARED_FORMULA_5">IP1</definedName>
    <definedName name="SHARED_FORMULA_6">IP1</definedName>
    <definedName name="SHARED_FORMULA_7">IP1</definedName>
    <definedName name="SHARED_FORMULA_8">IP1</definedName>
    <definedName name="SHARED_FORMULA_9">IP1</definedName>
  </definedNames>
  <calcPr fullCalcOnLoad="1"/>
</workbook>
</file>

<file path=xl/sharedStrings.xml><?xml version="1.0" encoding="utf-8"?>
<sst xmlns="http://schemas.openxmlformats.org/spreadsheetml/2006/main" count="638" uniqueCount="330">
  <si>
    <t>Room block rebate</t>
  </si>
  <si>
    <t>Security &amp; Guard Service</t>
  </si>
  <si>
    <t>Proj Eqpt Rental &amp; Operator</t>
  </si>
  <si>
    <t>Mgmt, Secretarial Svc</t>
  </si>
  <si>
    <t>SOCIETY SIGNATURE</t>
  </si>
  <si>
    <t xml:space="preserve">    Date:</t>
  </si>
  <si>
    <t>handling fee (boxes)</t>
  </si>
  <si>
    <t>Toll charges (PGI phone)</t>
  </si>
  <si>
    <t>(7) Other social functions expenses (specify)</t>
  </si>
  <si>
    <r>
      <rPr>
        <sz val="9.9"/>
        <color indexed="8"/>
        <rFont val="Arial"/>
        <family val="2"/>
      </rPr>
      <t>HOSPITALITY</t>
    </r>
  </si>
  <si>
    <r>
      <rPr>
        <sz val="9.9"/>
        <color indexed="8"/>
        <rFont val="Arial"/>
        <family val="2"/>
      </rPr>
      <t>SOCIAL EVENTS</t>
    </r>
  </si>
  <si>
    <r>
      <rPr>
        <sz val="9.9"/>
        <color indexed="8"/>
        <rFont val="Arial"/>
        <family val="2"/>
      </rPr>
      <t>OTHER SOCIAL EXPENSES</t>
    </r>
  </si>
  <si>
    <t xml:space="preserve"> ("SUMMARY REPORT", "PART I: INCOME", "PART II: EXPENSE" AND "SOCIAL FUNCTIONS"). </t>
  </si>
  <si>
    <t xml:space="preserve">RETURN TO: IEEE CONFERENCE SERVICES </t>
  </si>
  <si>
    <t>Adv student</t>
  </si>
  <si>
    <t>Adv IEEE member 2nd tutorial</t>
  </si>
  <si>
    <t>Adv non-member 2nd tutorial</t>
  </si>
  <si>
    <t>Adv student 2nd tutorial</t>
  </si>
  <si>
    <t xml:space="preserve"> IEEE member</t>
  </si>
  <si>
    <t>non-member</t>
  </si>
  <si>
    <t>student</t>
  </si>
  <si>
    <t>IEEE member 2nd tutorial</t>
  </si>
  <si>
    <t>9. Social Functions</t>
  </si>
  <si>
    <t>10. All Other Receipts</t>
  </si>
  <si>
    <t>11. Total Conf. Income $</t>
  </si>
  <si>
    <t xml:space="preserve">   12. Conference Loans</t>
  </si>
  <si>
    <t>(1) Coffee, pastries, etc., between sessions</t>
  </si>
  <si>
    <t xml:space="preserve">      445 HOES LANE, P.O. BOX 1331, PISCATAWAY, N.J. 08855-1331, USA</t>
  </si>
  <si>
    <t xml:space="preserve">                KEEP A COPY FOR YOUR RECORDS</t>
  </si>
  <si>
    <t xml:space="preserve">  </t>
  </si>
  <si>
    <t>IEEE CONFERENCE DETAILED FINANCIAL REPORT - PART I: INCOME</t>
  </si>
  <si>
    <t>In Advance - Reduced Rate</t>
  </si>
  <si>
    <t>Life Members</t>
  </si>
  <si>
    <t>Students</t>
  </si>
  <si>
    <t>Other</t>
  </si>
  <si>
    <t xml:space="preserve">    RETURN TO: IEEE CONFERENCE SERVICES</t>
  </si>
  <si>
    <t>Total Tutorials</t>
  </si>
  <si>
    <t>Adv IEEE member</t>
  </si>
  <si>
    <t>Adv non-member</t>
  </si>
  <si>
    <t xml:space="preserve">      ("PART I: INCOME," "PART II: EXPENSE," "SOCIAL FUNCTIONS" AND "SUMMARY </t>
  </si>
  <si>
    <t xml:space="preserve">       REPORT").</t>
  </si>
  <si>
    <t>ALL OTHER</t>
  </si>
  <si>
    <t>Tutorials</t>
  </si>
  <si>
    <t>CONFERENCE PUBLICATION</t>
  </si>
  <si>
    <t>Conference Record Printing</t>
  </si>
  <si>
    <t>Author Kits Printing</t>
  </si>
  <si>
    <t>Welcome Reception</t>
  </si>
  <si>
    <t>Food</t>
  </si>
  <si>
    <t>Conference</t>
  </si>
  <si>
    <t>ADMINISTRATIVE</t>
  </si>
  <si>
    <t xml:space="preserve">Conference Audit Fees </t>
  </si>
  <si>
    <t>Insurance &amp; Bonding</t>
  </si>
  <si>
    <t>634a</t>
  </si>
  <si>
    <t>634b</t>
  </si>
  <si>
    <t>Book and shirt income</t>
  </si>
  <si>
    <t>Registration fees</t>
  </si>
  <si>
    <t>Extra luncheon and banquet tickets</t>
  </si>
  <si>
    <t>Gross income from CMS</t>
  </si>
  <si>
    <t>Luncheon</t>
  </si>
  <si>
    <t>Banquet</t>
  </si>
  <si>
    <t xml:space="preserve">       No. people ___ X $/person ___</t>
  </si>
  <si>
    <t>(6) Transportation (courtesy bus, etc.)</t>
  </si>
  <si>
    <t xml:space="preserve">Full title of Conference </t>
  </si>
  <si>
    <t>Conf. Dates</t>
  </si>
  <si>
    <t xml:space="preserve">           INCOME </t>
  </si>
  <si>
    <t xml:space="preserve"> QUANTITY</t>
  </si>
  <si>
    <t xml:space="preserve">  X    FEE</t>
  </si>
  <si>
    <t xml:space="preserve">        =</t>
  </si>
  <si>
    <t xml:space="preserve">   Budget</t>
  </si>
  <si>
    <t xml:space="preserve">     the "Optimistic" view is calculated at 130% (in most categories) of the "Most Likely" view.  </t>
  </si>
  <si>
    <t>Other Registration Fees</t>
  </si>
  <si>
    <t>Printing 900 Fancy Posters x 2</t>
  </si>
  <si>
    <t>Luncheon tickets</t>
  </si>
  <si>
    <t xml:space="preserve">  Final</t>
  </si>
  <si>
    <t xml:space="preserve">     445 HOES LANE, P.O.BOX 1331, PISCATAWAY, NJ 08815-1331, USA</t>
  </si>
  <si>
    <t>Printing Forms, Etc</t>
  </si>
  <si>
    <t>Posters, Signs, Badges, Etc</t>
  </si>
  <si>
    <t>Transportation</t>
  </si>
  <si>
    <t>Committee Expenses</t>
  </si>
  <si>
    <t xml:space="preserve">5. All income and expense figures below must be in U.S. Dollars.  For Conferences held outside </t>
  </si>
  <si>
    <t xml:space="preserve">                  INTERIM REPORT            FINAL REPORT</t>
  </si>
  <si>
    <t>Food and beverages</t>
  </si>
  <si>
    <t>Tours-PGI Desk+bus subsidy</t>
  </si>
  <si>
    <t>CONFERENCE PUBLICATIONS SALES</t>
  </si>
  <si>
    <t>To IEEE Hq.</t>
  </si>
  <si>
    <t>Videotapes &amp; CD-ROM</t>
  </si>
  <si>
    <t>Other Publicat. Sales</t>
  </si>
  <si>
    <t>(Events itemized on Social Functions Revenues worksheet.)</t>
  </si>
  <si>
    <t>(LIST HERE OR ATTACH DETAILS.)</t>
  </si>
  <si>
    <t xml:space="preserve">      TOTAL INCOME</t>
  </si>
  <si>
    <t xml:space="preserve">       No. Breaks___ X No. people___ X $/person___</t>
  </si>
  <si>
    <t>(2) Luncheons</t>
  </si>
  <si>
    <t xml:space="preserve">       No. Luncheons___ X No. people ___ X $/person ___</t>
  </si>
  <si>
    <t>CONF. SIGNATURE</t>
  </si>
  <si>
    <t>Table 6 feet-Prentice Hall</t>
  </si>
  <si>
    <t xml:space="preserve"> NOTE: BE SURE TO COMPLETE AND RETURN ALL FINANCIAL FORMS TOGETHER </t>
  </si>
  <si>
    <t xml:space="preserve">       A copy of this certificate should be submitted with the IEEE Conference Insurance form.  </t>
  </si>
  <si>
    <t xml:space="preserve">       IEEE Insurance coverage does not cover boat or air transportation.  </t>
  </si>
  <si>
    <t xml:space="preserve">   (Total social function expenses/No. of conference registrants)</t>
  </si>
  <si>
    <t>EXCEL Conference Budgeting Tool</t>
  </si>
  <si>
    <t>This is a spreadsheet that enables the comparison between three views of the same budget,</t>
  </si>
  <si>
    <t xml:space="preserve">     Pessimistic</t>
  </si>
  <si>
    <t>445 HOES LANE, P.O. BOX 1331, PISCATAWAY, NJ 08855-1331, USA</t>
  </si>
  <si>
    <t>non-member 2nd tutorial</t>
  </si>
  <si>
    <t>student 2nd tutorial</t>
  </si>
  <si>
    <t>Tutorial Speakers Expenses</t>
  </si>
  <si>
    <t>Coffee Breaks -conference</t>
  </si>
  <si>
    <t>Printing for tutorials</t>
  </si>
  <si>
    <t>Awards luncheon programs</t>
  </si>
  <si>
    <t>IEEE CONFERENCE DETAILED FINANCIAL REPORT - PART II: EXPENSE</t>
  </si>
  <si>
    <t xml:space="preserve">                   Interim Report</t>
  </si>
  <si>
    <t>Final Report</t>
  </si>
  <si>
    <t>Printing/Call for Papers</t>
  </si>
  <si>
    <t xml:space="preserve"> for Papers</t>
  </si>
  <si>
    <t>Printing/Advance Program</t>
  </si>
  <si>
    <t>Printing/Final Program</t>
  </si>
  <si>
    <t xml:space="preserve">      NOTE: BE SURE TO COMPLETE AND RETURN ALL FINANCIAL FORMS TOGETHER </t>
  </si>
  <si>
    <t xml:space="preserve">The "Final Budget" column is populated by the "Most Likely" column and is intended for the conference committee to make any changes they agree upon, based on their analysis of the 3 prior views (Pessimistic, Most Likely and Optimistic). </t>
  </si>
  <si>
    <t xml:space="preserve">Surplus (Loss) in line 25 distributed as follows: </t>
  </si>
  <si>
    <t xml:space="preserve">     Cosponsor Entity</t>
  </si>
  <si>
    <t xml:space="preserve">    % Share </t>
  </si>
  <si>
    <t>$ Distributed</t>
  </si>
  <si>
    <t xml:space="preserve">          a.</t>
  </si>
  <si>
    <t xml:space="preserve">          b.</t>
  </si>
  <si>
    <t xml:space="preserve">          c.</t>
  </si>
  <si>
    <t xml:space="preserve">          d.</t>
  </si>
  <si>
    <t xml:space="preserve">    Surplus (Loss)         $</t>
  </si>
  <si>
    <t>CONFERENCE FINANCIAL INSTITUTION</t>
  </si>
  <si>
    <t>Name of Bank</t>
  </si>
  <si>
    <t>Address</t>
  </si>
  <si>
    <t>Conference Acct. Title</t>
  </si>
  <si>
    <t xml:space="preserve">   Acct. No.</t>
  </si>
  <si>
    <t>Students-volunteering</t>
  </si>
  <si>
    <t>Maps to participants</t>
  </si>
  <si>
    <t>Bags to participants</t>
  </si>
  <si>
    <t>Promotion 2002-2003</t>
  </si>
  <si>
    <t>4. Indicate type of report by checking one box:</t>
  </si>
  <si>
    <t>X</t>
  </si>
  <si>
    <t xml:space="preserve">  Budget</t>
  </si>
  <si>
    <t xml:space="preserve">  Interim </t>
  </si>
  <si>
    <t xml:space="preserve">  EXPENSE</t>
  </si>
  <si>
    <t xml:space="preserve">    Tel. No.       </t>
  </si>
  <si>
    <t>(      )</t>
  </si>
  <si>
    <t xml:space="preserve">   Address</t>
  </si>
  <si>
    <t xml:space="preserve">   Conference Position</t>
  </si>
  <si>
    <t>Proj Eqpt Rental &amp; Oper</t>
  </si>
  <si>
    <t xml:space="preserve">Security &amp; Guard Service </t>
  </si>
  <si>
    <t xml:space="preserve">Telephone </t>
  </si>
  <si>
    <t>Other (Attach Details)</t>
  </si>
  <si>
    <t>TOTAL EXPENSES</t>
  </si>
  <si>
    <t xml:space="preserve">   Interim</t>
  </si>
  <si>
    <t>6. Registration Fees     $</t>
  </si>
  <si>
    <t xml:space="preserve">                 $</t>
  </si>
  <si>
    <t>7. Conf. Publicat. Sales</t>
  </si>
  <si>
    <t>8. Exhibits</t>
  </si>
  <si>
    <t xml:space="preserve">     the "Pessimistic" view is calculated at 70% (in most categories) of the "Most Likely" view</t>
  </si>
  <si>
    <t xml:space="preserve">The Final Budget figures are then linked to a separate sheet in the "Budget.xls" file (Click on Conference Budget Forms tab below to access the Final Budget form).  This latter spreadsheet emulates the IEEE Financial Report form and can be used to submit </t>
  </si>
  <si>
    <t>After 1 May - Members</t>
  </si>
  <si>
    <r>
      <rPr>
        <b/>
        <u val="single"/>
        <sz val="9.95"/>
        <color indexed="8"/>
        <rFont val="Arial"/>
        <family val="2"/>
      </rPr>
      <t>Note</t>
    </r>
    <r>
      <rPr>
        <sz val="9.9"/>
        <color indexed="8"/>
        <rFont val="Arial"/>
        <family val="2"/>
      </rPr>
      <t>:  This budgeting spreadsheet may contain more categories than a particular conference needs, just enter zero in these fields.*  There is no need to delete a category.</t>
    </r>
  </si>
  <si>
    <t xml:space="preserve"> </t>
  </si>
  <si>
    <t>Conference Title:</t>
  </si>
  <si>
    <t>This form should be completed only for IEEE sponsored or cosponsored Conferences. The care</t>
  </si>
  <si>
    <t>taken in filling out this report will lead to a more accurate projection of your Conference's net surplus or loss.</t>
  </si>
  <si>
    <t xml:space="preserve">jection of your Conference's net </t>
  </si>
  <si>
    <t xml:space="preserve">surplus or loss. </t>
  </si>
  <si>
    <t xml:space="preserve">      NOTE:</t>
  </si>
  <si>
    <t>Banquet tickets</t>
  </si>
  <si>
    <t>Second City</t>
  </si>
  <si>
    <t>Bus transport</t>
  </si>
  <si>
    <t xml:space="preserve">All income items may be expressed in either U.S. Dollars or in local currency. </t>
  </si>
  <si>
    <t>To Members</t>
  </si>
  <si>
    <t>To Nonmembers</t>
  </si>
  <si>
    <t>EXHIBITS</t>
  </si>
  <si>
    <t>Tables</t>
  </si>
  <si>
    <t>Booths</t>
  </si>
  <si>
    <t>Patrons</t>
  </si>
  <si>
    <t>SOCIAL FUNCTIONS</t>
  </si>
  <si>
    <t xml:space="preserve">Printing Forms, etc. </t>
  </si>
  <si>
    <t xml:space="preserve">    RETURN TO: IEEE CONFERENCE SERVICES </t>
  </si>
  <si>
    <t>Shipping to Site and IEEE Hq.</t>
  </si>
  <si>
    <t xml:space="preserve">    Total</t>
  </si>
  <si>
    <t xml:space="preserve">(Attach detailed </t>
  </si>
  <si>
    <t xml:space="preserve">statement of all expenses necessary </t>
  </si>
  <si>
    <t>to mount and display exhibits.)</t>
  </si>
  <si>
    <t>(Itemize events on next page.)</t>
  </si>
  <si>
    <t>ADMINISTRATION</t>
  </si>
  <si>
    <t>Conf Audit Fees</t>
  </si>
  <si>
    <t xml:space="preserve">Gratuities, etc. </t>
  </si>
  <si>
    <t xml:space="preserve">Office Equipment Rental </t>
  </si>
  <si>
    <t>Poster, Signs, Badges</t>
  </si>
  <si>
    <t xml:space="preserve">     Final</t>
  </si>
  <si>
    <t xml:space="preserve">     Report</t>
  </si>
  <si>
    <t>In Advance- Members</t>
  </si>
  <si>
    <t>In Advance-Nonmem.</t>
  </si>
  <si>
    <t>In Advance-Red. Rate</t>
  </si>
  <si>
    <t>At Conference-Member</t>
  </si>
  <si>
    <t>At Conf-Nonmember</t>
  </si>
  <si>
    <t>At Conf-Red. Rate</t>
  </si>
  <si>
    <t>Tutorial Fees</t>
  </si>
  <si>
    <t>Workshop Fees</t>
  </si>
  <si>
    <t>Student volunteering</t>
  </si>
  <si>
    <t>Billene fee (registration)</t>
  </si>
  <si>
    <t>Billene fee (paper handling)</t>
  </si>
  <si>
    <t>Other registration expenses (Billene)</t>
  </si>
  <si>
    <t>Payment for registration and paper handling (Billene)</t>
  </si>
  <si>
    <t>Travel</t>
  </si>
  <si>
    <t>(3) Receptions</t>
  </si>
  <si>
    <t xml:space="preserve">       No. Receptions ___ X No. people ___ X $/person ___</t>
  </si>
  <si>
    <t>(4) Banquets</t>
  </si>
  <si>
    <t xml:space="preserve">       Companies providing chartered bus services must submit proof of a current and valid </t>
  </si>
  <si>
    <t xml:space="preserve">       certificate of insurance during the dates of the event with coverage of at least $1 million.</t>
  </si>
  <si>
    <t xml:space="preserve">     Total</t>
  </si>
  <si>
    <t>Table 6 feet (discount)-Kluwer</t>
  </si>
  <si>
    <t>Table 12 feet-Cambridge U. Press</t>
  </si>
  <si>
    <t>Spouses hospitality room</t>
  </si>
  <si>
    <t>In Advance - IEEE Members</t>
  </si>
  <si>
    <t>After 1 May-Reduced rate</t>
  </si>
  <si>
    <t>Credit Card Fees</t>
  </si>
  <si>
    <t>LOAN REPAYMENTS</t>
  </si>
  <si>
    <t>IEEE CONFERENCE FINANCIALS</t>
  </si>
  <si>
    <t xml:space="preserve">TOTAL SOCIAL FUNCTION EXPENSES </t>
  </si>
  <si>
    <t>SOCIAL FUNCTION COST PER ATTENDEE</t>
  </si>
  <si>
    <t>2 cashiers + bartender</t>
  </si>
  <si>
    <t>Marriott Food</t>
  </si>
  <si>
    <t>Total Marriott payment</t>
  </si>
  <si>
    <t>Marriott Food total</t>
  </si>
  <si>
    <t>piano tuning</t>
  </si>
  <si>
    <t>Marriott comm/comp AV total</t>
  </si>
  <si>
    <t>Extra proceedings</t>
  </si>
  <si>
    <t>T-shirts</t>
  </si>
  <si>
    <t>SUMMARY FINANCIAL REPORT FOR IEEE SPONSORED CONFERENCES</t>
  </si>
  <si>
    <t xml:space="preserve"> KEEP A COPY FOR YOUR RECORDS</t>
  </si>
  <si>
    <t xml:space="preserve">     Most Likely</t>
  </si>
  <si>
    <t xml:space="preserve">     Optimistic</t>
  </si>
  <si>
    <t xml:space="preserve">This tool calculates its various views from the 3 columns included in the "Most Likely" section (bolded) in the middle of the worksheet.  </t>
  </si>
  <si>
    <t>Other Revenue</t>
  </si>
  <si>
    <t xml:space="preserve"> Revenues (Grants)</t>
  </si>
  <si>
    <t>TOTAL CONFERENCE EXPENSE</t>
  </si>
  <si>
    <t>PROMOTION</t>
  </si>
  <si>
    <t>Printing / Final Program</t>
  </si>
  <si>
    <t>Mailing Lists / Labels</t>
  </si>
  <si>
    <t>Postage</t>
  </si>
  <si>
    <t>Other Promotion</t>
  </si>
  <si>
    <t>CONFERENCE PUBLICATIONS</t>
  </si>
  <si>
    <t>Conference Record/Digest Printing</t>
  </si>
  <si>
    <t>PRELIMINARY</t>
  </si>
  <si>
    <t>Telephone incld charges (at PGI desk on-site)</t>
  </si>
  <si>
    <t xml:space="preserve">       No. Banquets _1_ X No. People 300 X $/person $40</t>
  </si>
  <si>
    <t>(5) Speakers Hospitality</t>
  </si>
  <si>
    <t>T O T A L   O U T L A Y S</t>
  </si>
  <si>
    <t>TOTAL CONFERENCE INCOME</t>
  </si>
  <si>
    <t>REGISTRATION FEES</t>
  </si>
  <si>
    <t>In Advance - Nonmembers</t>
  </si>
  <si>
    <t>Mailing Lists/Labels</t>
  </si>
  <si>
    <t xml:space="preserve">   Total</t>
  </si>
  <si>
    <t>Internet kiosks and registration</t>
  </si>
  <si>
    <t>Shipping (was included)</t>
  </si>
  <si>
    <t>Tourist authority brochures</t>
  </si>
  <si>
    <t>After 1 May - Nonmembers</t>
  </si>
  <si>
    <t>Navy pier electrical+security</t>
  </si>
  <si>
    <t>Promotion (Blues band) and committee lunch at ISIT03</t>
  </si>
  <si>
    <t>AUG 09 UPDATE</t>
  </si>
  <si>
    <t>ISIT2004</t>
  </si>
  <si>
    <t>June 27-July 2, 2004</t>
  </si>
  <si>
    <t>SOCIETY ADVANCE LOANS</t>
  </si>
  <si>
    <t>Registration waivers</t>
  </si>
  <si>
    <t>vel (Grants excluding registration waivers)</t>
  </si>
  <si>
    <t>Plenary Speakers Honoraria (excluding registration waivers)</t>
  </si>
  <si>
    <t>TPC meeting expenses</t>
  </si>
  <si>
    <t>Have you requested IEEE Conference Insurance?</t>
  </si>
  <si>
    <t xml:space="preserve">       Yes</t>
  </si>
  <si>
    <t xml:space="preserve">       No</t>
  </si>
  <si>
    <t>SUBMITTED BY:</t>
  </si>
  <si>
    <t xml:space="preserve">    Name</t>
  </si>
  <si>
    <t xml:space="preserve">    Interim </t>
  </si>
  <si>
    <t>the U.S.A., indicate the local currency (e.g., Swiss Francs), the conversion units/Dollar and date.</t>
  </si>
  <si>
    <t xml:space="preserve">            Local Currency:</t>
  </si>
  <si>
    <t xml:space="preserve">          Conversion Rate:</t>
  </si>
  <si>
    <t xml:space="preserve">        Date:</t>
  </si>
  <si>
    <t xml:space="preserve">  INCOME</t>
  </si>
  <si>
    <t xml:space="preserve">  BUDGET</t>
  </si>
  <si>
    <t xml:space="preserve">   13. Total Receipts     $</t>
  </si>
  <si>
    <r>
      <rPr>
        <sz val="9.95"/>
        <color indexed="8"/>
        <rFont val="Arial"/>
        <family val="2"/>
      </rPr>
      <t xml:space="preserve">The raw numbers are entered regarding expected participation, registration fees, expenses, etc. in the "Most Likely" columns.  </t>
    </r>
    <r>
      <rPr>
        <sz val="9.9"/>
        <color indexed="8"/>
        <rFont val="Arial"/>
        <family val="2"/>
      </rPr>
      <t xml:space="preserve">(Click on BUDGETS tab below to access the budgeting form).  </t>
    </r>
  </si>
  <si>
    <t xml:space="preserve">For Comparison purposes: </t>
  </si>
  <si>
    <t>1. Conference Title</t>
  </si>
  <si>
    <t xml:space="preserve">2. Dates     </t>
  </si>
  <si>
    <t>3. Location</t>
  </si>
  <si>
    <t>TYPE OF REPORT / CURRENCY USED</t>
  </si>
  <si>
    <t>14. Promotion               $</t>
  </si>
  <si>
    <t>15. Conf. Publicat.</t>
  </si>
  <si>
    <t>16. Exhibits</t>
  </si>
  <si>
    <t>17. Social Functions</t>
  </si>
  <si>
    <t>18. Administration</t>
  </si>
  <si>
    <t>19. All Other Expenses</t>
  </si>
  <si>
    <t>20. Total Conf Exp.      $</t>
  </si>
  <si>
    <t>21. Loan Repayments</t>
  </si>
  <si>
    <t>22. Total Outlays       $</t>
  </si>
  <si>
    <t>SURPLUS/(LOSS)</t>
  </si>
  <si>
    <t>23. Total Receipts (13) $</t>
  </si>
  <si>
    <t xml:space="preserve">  24.Total Outlays (22) $</t>
  </si>
  <si>
    <t xml:space="preserve">        25. Surplus(Loss)-(Item 23 less Item 24)  $</t>
  </si>
  <si>
    <t>POST CONFERENCE DISTRIBUTION</t>
  </si>
  <si>
    <t>Other CMS fees collected</t>
  </si>
  <si>
    <t>Conference Dates:</t>
  </si>
  <si>
    <t xml:space="preserve">Budget </t>
  </si>
  <si>
    <t xml:space="preserve">Line # </t>
  </si>
  <si>
    <t>Category</t>
  </si>
  <si>
    <t>S U R P L U S</t>
  </si>
  <si>
    <t>T O T A L   R E C E I P T S</t>
  </si>
  <si>
    <t>Record/Digest Printing</t>
  </si>
  <si>
    <t>ISIT 2008</t>
  </si>
  <si>
    <t>IN CANADIAN DOLLARS</t>
  </si>
  <si>
    <t>Exchange Rate</t>
  </si>
  <si>
    <t>3 coffee breaks per day</t>
  </si>
  <si>
    <t>July 6 - July 11, 2008</t>
  </si>
  <si>
    <t>in USD</t>
  </si>
  <si>
    <t>INFLATION over 4 years</t>
  </si>
  <si>
    <t>Source: NSF? Office of Navel Research?</t>
  </si>
  <si>
    <t>5-page format or 1-page format? CD or paper?</t>
  </si>
  <si>
    <t>FINAL</t>
  </si>
  <si>
    <t>NSF grants for student travel</t>
  </si>
  <si>
    <t>PESSIMISTIC</t>
  </si>
  <si>
    <t>including IEEE Info Theory Society ($32,000) and Canadian Info. Theory Society Loan ($8,000)</t>
  </si>
  <si>
    <t>SHERATON MEETING PLACE RENTAL</t>
  </si>
  <si>
    <t>CHICAGO ACTUALS</t>
  </si>
  <si>
    <t>For reference only:</t>
  </si>
  <si>
    <t>3% of registration fee</t>
  </si>
  <si>
    <t>For reference only</t>
  </si>
  <si>
    <t>SCENARIO #2  Budget Estimate ($210/night at Sheraton)</t>
  </si>
  <si>
    <t>SCENARIO #1 Budget Estimate ($240/night at Sheraton)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</si>
</sst>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numFmt numFmtId="173" formatCode="0.00_)"/>
    <numFmt numFmtId="174" formatCode="&quot;$&quot;#,##0.00"/>
    <numFmt numFmtId="175" formatCode="&quot;$&quot;#,##0"/>
  </numFmts>
  <fonts count="27">
    <font>
      <sz val="10"/>
      <name val="Arial"/>
      <family val="0"/>
    </font>
    <font>
      <b/>
      <sz val="10"/>
      <name val="Arial"/>
      <family val="0"/>
    </font>
    <font>
      <i/>
      <sz val="10"/>
      <name val="Arial"/>
      <family val="0"/>
    </font>
    <font>
      <b/>
      <i/>
      <sz val="10"/>
      <name val="Arial"/>
      <family val="0"/>
    </font>
    <font>
      <b/>
      <u val="single"/>
      <sz val="10"/>
      <color indexed="8"/>
      <name val="Arial"/>
      <family val="2"/>
    </font>
    <font>
      <sz val="10"/>
      <color indexed="8"/>
      <name val="Arial"/>
      <family val="2"/>
    </font>
    <font>
      <sz val="9.95"/>
      <color indexed="8"/>
      <name val="Arial"/>
      <family val="2"/>
    </font>
    <font>
      <sz val="9.9"/>
      <color indexed="8"/>
      <name val="Arial"/>
      <family val="2"/>
    </font>
    <font>
      <b/>
      <u val="single"/>
      <sz val="9.95"/>
      <color indexed="8"/>
      <name val="Arial"/>
      <family val="2"/>
    </font>
    <font>
      <sz val="10"/>
      <color indexed="10"/>
      <name val="Arial"/>
      <family val="2"/>
    </font>
    <font>
      <sz val="8"/>
      <color indexed="8"/>
      <name val="MS Sans Serif"/>
      <family val="0"/>
    </font>
    <font>
      <b/>
      <sz val="8"/>
      <color indexed="8"/>
      <name val="MS Sans Serif"/>
      <family val="0"/>
    </font>
    <font>
      <sz val="8"/>
      <color indexed="8"/>
      <name val="Courier"/>
      <family val="0"/>
    </font>
    <font>
      <i/>
      <sz val="8"/>
      <color indexed="8"/>
      <name val="MS Sans Serif"/>
      <family val="0"/>
    </font>
    <font>
      <b/>
      <i/>
      <sz val="8"/>
      <color indexed="8"/>
      <name val="MS Sans Serif"/>
      <family val="0"/>
    </font>
    <font>
      <sz val="10"/>
      <color indexed="8"/>
      <name val="Courier"/>
      <family val="0"/>
    </font>
    <font>
      <sz val="8"/>
      <color indexed="8"/>
      <name val="Helv"/>
      <family val="0"/>
    </font>
    <font>
      <b/>
      <sz val="8"/>
      <color indexed="8"/>
      <name val="Helv"/>
      <family val="0"/>
    </font>
    <font>
      <u val="single"/>
      <sz val="10"/>
      <color indexed="12"/>
      <name val="Arial"/>
      <family val="0"/>
    </font>
    <font>
      <u val="single"/>
      <sz val="10"/>
      <color indexed="36"/>
      <name val="Arial"/>
      <family val="0"/>
    </font>
    <font>
      <sz val="9"/>
      <name val="MS Sans Serif"/>
      <family val="0"/>
    </font>
    <font>
      <sz val="9"/>
      <color indexed="8"/>
      <name val="MS Sans Serif"/>
      <family val="0"/>
    </font>
    <font>
      <b/>
      <i/>
      <sz val="9"/>
      <color indexed="8"/>
      <name val="MS Sans Serif"/>
      <family val="0"/>
    </font>
    <font>
      <b/>
      <sz val="9"/>
      <name val="MS Sans Serif"/>
      <family val="0"/>
    </font>
    <font>
      <b/>
      <sz val="9"/>
      <color indexed="8"/>
      <name val="MS Sans Serif"/>
      <family val="0"/>
    </font>
    <font>
      <b/>
      <i/>
      <sz val="9"/>
      <name val="MS Sans Serif"/>
      <family val="0"/>
    </font>
    <font>
      <sz val="8"/>
      <name val="Arial"/>
      <family val="0"/>
    </font>
  </fonts>
  <fills count="7">
    <fill>
      <patternFill/>
    </fill>
    <fill>
      <patternFill patternType="gray125"/>
    </fill>
    <fill>
      <patternFill patternType="solid">
        <fgColor indexed="11"/>
        <bgColor indexed="64"/>
      </patternFill>
    </fill>
    <fill>
      <patternFill patternType="solid">
        <fgColor indexed="11"/>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s>
  <borders count="35">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color indexed="8"/>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172" fontId="4" fillId="0" borderId="0" xfId="0" applyFont="1" applyAlignment="1">
      <alignment/>
    </xf>
    <xf numFmtId="172" fontId="5" fillId="0" borderId="0" xfId="0" applyFont="1" applyAlignment="1">
      <alignment/>
    </xf>
    <xf numFmtId="172" fontId="5" fillId="0" borderId="0" xfId="0" applyFont="1" applyAlignment="1">
      <alignment wrapText="1"/>
    </xf>
    <xf numFmtId="172" fontId="4" fillId="0" borderId="0" xfId="0" applyFont="1" applyAlignment="1">
      <alignment wrapText="1"/>
    </xf>
    <xf numFmtId="172" fontId="9" fillId="0" borderId="0" xfId="0" applyFont="1" applyAlignment="1">
      <alignment/>
    </xf>
    <xf numFmtId="172" fontId="10" fillId="0" borderId="0" xfId="0" applyFont="1" applyAlignment="1">
      <alignment horizontal="left"/>
    </xf>
    <xf numFmtId="172" fontId="10" fillId="0" borderId="0" xfId="0" applyFont="1" applyAlignment="1">
      <alignment/>
    </xf>
    <xf numFmtId="172" fontId="11" fillId="0" borderId="0" xfId="0" applyFont="1" applyAlignment="1">
      <alignment/>
    </xf>
    <xf numFmtId="172" fontId="10" fillId="0" borderId="0" xfId="0" applyFont="1" applyAlignment="1">
      <alignment horizontal="center"/>
    </xf>
    <xf numFmtId="172" fontId="11" fillId="0" borderId="0" xfId="0" applyFont="1" applyAlignment="1">
      <alignment horizontal="left"/>
    </xf>
    <xf numFmtId="172" fontId="10" fillId="0" borderId="1" xfId="0" applyFont="1" applyAlignment="1">
      <alignment horizontal="left"/>
    </xf>
    <xf numFmtId="172" fontId="11" fillId="0" borderId="0" xfId="0" applyFont="1" applyAlignment="1">
      <alignment/>
    </xf>
    <xf numFmtId="172" fontId="10" fillId="0" borderId="2" xfId="0" applyFont="1" applyAlignment="1">
      <alignment/>
    </xf>
    <xf numFmtId="172" fontId="11" fillId="0" borderId="2" xfId="0" applyFont="1" applyAlignment="1">
      <alignment/>
    </xf>
    <xf numFmtId="172" fontId="10" fillId="0" borderId="3" xfId="0" applyFont="1" applyAlignment="1">
      <alignment horizontal="right"/>
    </xf>
    <xf numFmtId="172" fontId="10" fillId="0" borderId="4" xfId="0" applyFont="1" applyAlignment="1">
      <alignment/>
    </xf>
    <xf numFmtId="172" fontId="10" fillId="0" borderId="5" xfId="0" applyFont="1" applyAlignment="1">
      <alignment/>
    </xf>
    <xf numFmtId="172" fontId="11" fillId="0" borderId="6" xfId="0" applyFont="1" applyAlignment="1">
      <alignment horizontal="right"/>
    </xf>
    <xf numFmtId="172" fontId="10" fillId="0" borderId="7" xfId="0" applyFont="1" applyAlignment="1">
      <alignment horizontal="right"/>
    </xf>
    <xf numFmtId="172" fontId="10" fillId="0" borderId="8" xfId="0" applyFont="1" applyAlignment="1">
      <alignment/>
    </xf>
    <xf numFmtId="172" fontId="11" fillId="0" borderId="9" xfId="0" applyFont="1" applyAlignment="1">
      <alignment horizontal="center"/>
    </xf>
    <xf numFmtId="172" fontId="12" fillId="0" borderId="10" xfId="0" applyFont="1" applyAlignment="1">
      <alignment/>
    </xf>
    <xf numFmtId="172" fontId="12" fillId="0" borderId="2" xfId="0" applyFont="1" applyAlignment="1">
      <alignment/>
    </xf>
    <xf numFmtId="172" fontId="10" fillId="0" borderId="11" xfId="0" applyFont="1" applyAlignment="1">
      <alignment/>
    </xf>
    <xf numFmtId="172" fontId="11" fillId="0" borderId="9" xfId="0" applyFont="1" applyAlignment="1">
      <alignment/>
    </xf>
    <xf numFmtId="172" fontId="11" fillId="2" borderId="0" xfId="0" applyFont="1" applyAlignment="1">
      <alignment/>
    </xf>
    <xf numFmtId="172" fontId="11" fillId="2" borderId="0" xfId="0" applyFont="1" applyAlignment="1">
      <alignment horizontal="left"/>
    </xf>
    <xf numFmtId="172" fontId="11" fillId="2" borderId="9" xfId="0" applyFont="1" applyAlignment="1">
      <alignment/>
    </xf>
    <xf numFmtId="172" fontId="13" fillId="0" borderId="0" xfId="0" applyFont="1" applyAlignment="1">
      <alignment/>
    </xf>
    <xf numFmtId="172" fontId="13" fillId="0" borderId="0" xfId="0" applyFont="1" applyAlignment="1">
      <alignment horizontal="left"/>
    </xf>
    <xf numFmtId="172" fontId="14" fillId="0" borderId="9" xfId="0" applyFont="1" applyAlignment="1">
      <alignment/>
    </xf>
    <xf numFmtId="172" fontId="15" fillId="0" borderId="0" xfId="0" applyFont="1" applyAlignment="1">
      <alignment/>
    </xf>
    <xf numFmtId="172" fontId="16" fillId="0" borderId="0" xfId="0" applyFont="1" applyAlignment="1">
      <alignment/>
    </xf>
    <xf numFmtId="172" fontId="17" fillId="0" borderId="0" xfId="0" applyFont="1" applyAlignment="1">
      <alignment/>
    </xf>
    <xf numFmtId="172" fontId="17" fillId="0" borderId="0" xfId="0" applyFont="1" applyAlignment="1">
      <alignment horizontal="center"/>
    </xf>
    <xf numFmtId="172" fontId="16" fillId="0" borderId="12" xfId="0" applyFont="1" applyAlignment="1">
      <alignment horizontal="left"/>
    </xf>
    <xf numFmtId="172" fontId="16" fillId="0" borderId="1" xfId="0" applyFont="1" applyAlignment="1">
      <alignment horizontal="left"/>
    </xf>
    <xf numFmtId="172" fontId="16" fillId="0" borderId="13" xfId="0" applyFont="1" applyAlignment="1">
      <alignment horizontal="left"/>
    </xf>
    <xf numFmtId="0" fontId="5" fillId="0" borderId="0" xfId="0" applyFont="1" applyAlignment="1">
      <alignment/>
    </xf>
    <xf numFmtId="172" fontId="10" fillId="0" borderId="12" xfId="0" applyFont="1" applyAlignment="1">
      <alignment horizontal="left"/>
    </xf>
    <xf numFmtId="172" fontId="10" fillId="0" borderId="1" xfId="0" applyFont="1" applyAlignment="1">
      <alignment horizontal="left"/>
    </xf>
    <xf numFmtId="172" fontId="10" fillId="0" borderId="13" xfId="0" applyFont="1" applyAlignment="1">
      <alignment horizontal="left"/>
    </xf>
    <xf numFmtId="172" fontId="16" fillId="0" borderId="14" xfId="0" applyFont="1" applyAlignment="1">
      <alignment/>
    </xf>
    <xf numFmtId="172" fontId="16" fillId="0" borderId="15" xfId="0" applyFont="1" applyAlignment="1">
      <alignment/>
    </xf>
    <xf numFmtId="172" fontId="16" fillId="0" borderId="2" xfId="0" applyFont="1" applyAlignment="1">
      <alignment/>
    </xf>
    <xf numFmtId="173" fontId="16" fillId="0" borderId="2" xfId="0" applyFont="1" applyAlignment="1">
      <alignment/>
    </xf>
    <xf numFmtId="173" fontId="16" fillId="0" borderId="0" xfId="0" applyFont="1" applyAlignment="1">
      <alignment/>
    </xf>
    <xf numFmtId="173" fontId="16" fillId="0" borderId="14" xfId="0" applyFont="1" applyAlignment="1">
      <alignment/>
    </xf>
    <xf numFmtId="10" fontId="16" fillId="0" borderId="2" xfId="0" applyFont="1" applyAlignment="1">
      <alignment/>
    </xf>
    <xf numFmtId="172" fontId="16" fillId="0" borderId="11" xfId="0" applyFont="1" applyAlignment="1">
      <alignment/>
    </xf>
    <xf numFmtId="5" fontId="16" fillId="0" borderId="2" xfId="0" applyFont="1" applyAlignment="1">
      <alignment/>
    </xf>
    <xf numFmtId="173" fontId="16" fillId="0" borderId="11" xfId="0" applyFont="1" applyAlignment="1">
      <alignment/>
    </xf>
    <xf numFmtId="172" fontId="10" fillId="0" borderId="13" xfId="0" applyFont="1" applyAlignment="1">
      <alignment/>
    </xf>
    <xf numFmtId="173" fontId="16" fillId="0" borderId="16" xfId="0" applyFont="1" applyAlignment="1">
      <alignment/>
    </xf>
    <xf numFmtId="172" fontId="16" fillId="0" borderId="16" xfId="0" applyFont="1" applyAlignment="1">
      <alignment/>
    </xf>
    <xf numFmtId="7" fontId="16" fillId="0" borderId="2" xfId="0" applyFont="1" applyAlignment="1">
      <alignment/>
    </xf>
    <xf numFmtId="173" fontId="16" fillId="0" borderId="15" xfId="0" applyFont="1" applyAlignment="1">
      <alignment/>
    </xf>
    <xf numFmtId="173" fontId="16" fillId="0" borderId="13" xfId="0" applyFont="1" applyAlignment="1">
      <alignment/>
    </xf>
    <xf numFmtId="172" fontId="16" fillId="0" borderId="0" xfId="0" applyFont="1" applyAlignment="1">
      <alignment horizontal="right"/>
    </xf>
    <xf numFmtId="7" fontId="16" fillId="0" borderId="13" xfId="0" applyFont="1" applyAlignment="1">
      <alignment/>
    </xf>
    <xf numFmtId="174" fontId="16" fillId="0" borderId="0" xfId="0" applyFont="1" applyAlignment="1">
      <alignment/>
    </xf>
    <xf numFmtId="7" fontId="16" fillId="0" borderId="0" xfId="0" applyFont="1" applyAlignment="1">
      <alignment/>
    </xf>
    <xf numFmtId="173" fontId="16" fillId="0" borderId="17" xfId="0" applyFont="1" applyAlignment="1">
      <alignment/>
    </xf>
    <xf numFmtId="173" fontId="16" fillId="0" borderId="18" xfId="0" applyFont="1" applyAlignment="1">
      <alignment/>
    </xf>
    <xf numFmtId="172" fontId="16" fillId="0" borderId="17" xfId="0" applyFont="1" applyAlignment="1">
      <alignment/>
    </xf>
    <xf numFmtId="172" fontId="16" fillId="0" borderId="18" xfId="0" applyFont="1" applyAlignment="1">
      <alignment/>
    </xf>
    <xf numFmtId="0" fontId="0" fillId="0" borderId="19" xfId="0" applyBorder="1" applyAlignment="1" applyProtection="1">
      <alignment horizontal="justify"/>
      <protection locked="0"/>
    </xf>
    <xf numFmtId="0" fontId="0" fillId="0" borderId="20" xfId="0" applyBorder="1" applyAlignment="1" applyProtection="1">
      <alignment horizontal="justify"/>
      <protection locked="0"/>
    </xf>
    <xf numFmtId="0" fontId="0" fillId="1" borderId="20" xfId="0" applyFill="1" applyBorder="1" applyAlignment="1" applyProtection="1">
      <alignment horizontal="center"/>
      <protection locked="0"/>
    </xf>
    <xf numFmtId="0" fontId="0" fillId="1" borderId="21" xfId="0" applyFill="1" applyBorder="1" applyAlignment="1" applyProtection="1">
      <alignment horizontal="right"/>
      <protection locked="0"/>
    </xf>
    <xf numFmtId="0" fontId="0" fillId="0" borderId="22" xfId="0" applyBorder="1" applyAlignment="1" applyProtection="1">
      <alignment horizontal="center"/>
      <protection locked="0"/>
    </xf>
    <xf numFmtId="0" fontId="0" fillId="1" borderId="23" xfId="0" applyFill="1" applyBorder="1" applyAlignment="1" applyProtection="1">
      <alignment horizontal="justify"/>
      <protection locked="0"/>
    </xf>
    <xf numFmtId="0" fontId="0" fillId="1" borderId="24" xfId="0" applyFill="1" applyBorder="1" applyAlignment="1" applyProtection="1">
      <alignment horizontal="justify"/>
      <protection locked="0"/>
    </xf>
    <xf numFmtId="0" fontId="0" fillId="1" borderId="25" xfId="0" applyFill="1" applyBorder="1" applyAlignment="1" applyProtection="1">
      <alignment horizontal="right"/>
      <protection locked="0"/>
    </xf>
    <xf numFmtId="0" fontId="0" fillId="0" borderId="19" xfId="0" applyBorder="1" applyAlignment="1" applyProtection="1">
      <alignment horizontal="centerContinuous"/>
      <protection locked="0"/>
    </xf>
    <xf numFmtId="0" fontId="0" fillId="0" borderId="20" xfId="0" applyBorder="1" applyAlignment="1" applyProtection="1">
      <alignment horizontal="left"/>
      <protection locked="0"/>
    </xf>
    <xf numFmtId="0" fontId="0" fillId="0" borderId="0" xfId="0" applyAlignment="1" applyProtection="1">
      <alignment horizontal="justify"/>
      <protection locked="0"/>
    </xf>
    <xf numFmtId="0" fontId="0" fillId="0" borderId="0" xfId="0" applyAlignment="1" applyProtection="1">
      <alignment horizontal="fill"/>
      <protection locked="0"/>
    </xf>
    <xf numFmtId="0" fontId="0" fillId="1" borderId="26" xfId="0" applyFill="1" applyBorder="1" applyAlignment="1" applyProtection="1">
      <alignment horizontal="center"/>
      <protection locked="0"/>
    </xf>
    <xf numFmtId="0" fontId="0" fillId="1" borderId="27" xfId="0" applyFill="1" applyBorder="1" applyAlignment="1" applyProtection="1">
      <alignment horizontal="center"/>
      <protection locked="0"/>
    </xf>
    <xf numFmtId="0" fontId="0" fillId="0" borderId="20" xfId="0" applyBorder="1" applyAlignment="1" applyProtection="1">
      <alignment horizontal="fill"/>
      <protection locked="0"/>
    </xf>
    <xf numFmtId="0" fontId="0" fillId="0" borderId="20" xfId="0" applyBorder="1" applyAlignment="1" applyProtection="1">
      <alignment/>
      <protection locked="0"/>
    </xf>
    <xf numFmtId="0" fontId="0" fillId="0" borderId="28" xfId="0" applyBorder="1" applyAlignment="1" applyProtection="1">
      <alignment horizontal="center"/>
      <protection locked="0"/>
    </xf>
    <xf numFmtId="0" fontId="0" fillId="0" borderId="24" xfId="0" applyBorder="1" applyAlignment="1" applyProtection="1">
      <alignment horizontal="center"/>
      <protection locked="0"/>
    </xf>
    <xf numFmtId="0" fontId="0" fillId="1" borderId="29" xfId="0" applyFill="1" applyBorder="1" applyAlignment="1" applyProtection="1">
      <alignment horizontal="center"/>
      <protection locked="0"/>
    </xf>
    <xf numFmtId="0" fontId="0" fillId="0" borderId="23" xfId="0" applyBorder="1" applyAlignment="1" applyProtection="1">
      <alignment horizontal="center"/>
      <protection locked="0"/>
    </xf>
    <xf numFmtId="0" fontId="0" fillId="1" borderId="21" xfId="0" applyFill="1" applyBorder="1" applyAlignment="1" applyProtection="1">
      <alignment horizontal="center"/>
      <protection locked="0"/>
    </xf>
    <xf numFmtId="0" fontId="0" fillId="1" borderId="25" xfId="0" applyFill="1" applyBorder="1" applyAlignment="1" applyProtection="1">
      <alignment horizontal="center"/>
      <protection locked="0"/>
    </xf>
    <xf numFmtId="0" fontId="0" fillId="1" borderId="28" xfId="0" applyFill="1" applyBorder="1" applyAlignment="1" applyProtection="1">
      <alignment horizontal="center"/>
      <protection locked="0"/>
    </xf>
    <xf numFmtId="0" fontId="0" fillId="0" borderId="29" xfId="0" applyBorder="1" applyAlignment="1" applyProtection="1">
      <alignment horizontal="center"/>
      <protection locked="0"/>
    </xf>
    <xf numFmtId="0" fontId="0" fillId="0" borderId="21" xfId="0" applyBorder="1" applyAlignment="1" applyProtection="1">
      <alignment horizontal="center"/>
      <protection locked="0"/>
    </xf>
    <xf numFmtId="0" fontId="0" fillId="1" borderId="30" xfId="0"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25" xfId="0" applyBorder="1" applyAlignment="1" applyProtection="1">
      <alignment horizontal="centerContinuous"/>
      <protection locked="0"/>
    </xf>
    <xf numFmtId="0" fontId="0" fillId="0" borderId="20" xfId="0" applyBorder="1" applyAlignment="1">
      <alignment horizontal="justify"/>
    </xf>
    <xf numFmtId="0" fontId="0" fillId="1" borderId="23" xfId="0"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1" borderId="0" xfId="0" applyFill="1" applyAlignment="1" applyProtection="1">
      <alignment horizontal="center"/>
      <protection locked="0"/>
    </xf>
    <xf numFmtId="0" fontId="0" fillId="0" borderId="31" xfId="0" applyBorder="1" applyAlignment="1" applyProtection="1">
      <alignment horizontal="center"/>
      <protection locked="0"/>
    </xf>
    <xf numFmtId="0" fontId="0" fillId="1" borderId="19" xfId="0" applyFill="1" applyBorder="1" applyAlignment="1" applyProtection="1">
      <alignment horizontal="center"/>
      <protection locked="0"/>
    </xf>
    <xf numFmtId="0" fontId="0" fillId="1" borderId="32" xfId="0" applyFill="1" applyBorder="1" applyAlignment="1" applyProtection="1">
      <alignment horizontal="center"/>
      <protection locked="0"/>
    </xf>
    <xf numFmtId="0" fontId="0" fillId="0" borderId="25" xfId="0" applyBorder="1" applyAlignment="1" applyProtection="1">
      <alignment horizontal="center"/>
      <protection locked="0"/>
    </xf>
    <xf numFmtId="0" fontId="0" fillId="1" borderId="22" xfId="0" applyFill="1" applyBorder="1" applyAlignment="1" applyProtection="1">
      <alignment horizontal="center"/>
      <protection locked="0"/>
    </xf>
    <xf numFmtId="0" fontId="0" fillId="1" borderId="24" xfId="0" applyFill="1" applyBorder="1" applyAlignment="1" applyProtection="1">
      <alignment horizontal="center"/>
      <protection locked="0"/>
    </xf>
    <xf numFmtId="0" fontId="0" fillId="0" borderId="26" xfId="0" applyBorder="1" applyAlignment="1" applyProtection="1">
      <alignment horizontal="centerContinuous"/>
      <protection locked="0"/>
    </xf>
    <xf numFmtId="0" fontId="0" fillId="0" borderId="27" xfId="0" applyBorder="1" applyAlignment="1" applyProtection="1">
      <alignment horizontal="centerContinuous"/>
      <protection locked="0"/>
    </xf>
    <xf numFmtId="0" fontId="0" fillId="0" borderId="30" xfId="0" applyBorder="1" applyAlignment="1" applyProtection="1">
      <alignment horizontal="center"/>
      <protection locked="0"/>
    </xf>
    <xf numFmtId="0" fontId="0" fillId="1" borderId="0" xfId="0" applyFill="1" applyAlignment="1" applyProtection="1">
      <alignment horizontal="centerContinuous"/>
      <protection locked="0"/>
    </xf>
    <xf numFmtId="0" fontId="0" fillId="1" borderId="25" xfId="0" applyFill="1" applyBorder="1" applyAlignment="1" applyProtection="1">
      <alignment horizontal="centerContinuous"/>
      <protection locked="0"/>
    </xf>
    <xf numFmtId="0" fontId="0" fillId="1" borderId="28" xfId="0" applyFill="1" applyBorder="1" applyAlignment="1" applyProtection="1">
      <alignment horizontal="centerContinuous"/>
      <protection locked="0"/>
    </xf>
    <xf numFmtId="0" fontId="0" fillId="0" borderId="33" xfId="0" applyBorder="1" applyAlignment="1">
      <alignment horizontal="right"/>
    </xf>
    <xf numFmtId="0" fontId="0" fillId="0" borderId="20" xfId="0" applyBorder="1" applyAlignment="1">
      <alignment/>
    </xf>
    <xf numFmtId="0" fontId="0" fillId="0" borderId="20" xfId="0" applyBorder="1" applyAlignment="1">
      <alignment horizontal="center"/>
    </xf>
    <xf numFmtId="0" fontId="0" fillId="0" borderId="0" xfId="0" applyAlignment="1">
      <alignment horizontal="justify"/>
    </xf>
    <xf numFmtId="0" fontId="0" fillId="0" borderId="19" xfId="0" applyBorder="1" applyAlignment="1">
      <alignment horizontal="center"/>
    </xf>
    <xf numFmtId="0" fontId="0" fillId="0" borderId="33" xfId="0" applyBorder="1" applyAlignment="1">
      <alignment horizontal="center"/>
    </xf>
    <xf numFmtId="0" fontId="0" fillId="0" borderId="19" xfId="0" applyBorder="1" applyAlignment="1">
      <alignment/>
    </xf>
    <xf numFmtId="0" fontId="0" fillId="0" borderId="20" xfId="0" applyBorder="1" applyAlignment="1">
      <alignment horizontal="right"/>
    </xf>
    <xf numFmtId="0" fontId="0" fillId="0" borderId="33" xfId="0" applyBorder="1" applyAlignment="1">
      <alignment horizontal="centerContinuous"/>
    </xf>
    <xf numFmtId="0" fontId="0" fillId="0" borderId="33" xfId="0" applyBorder="1" applyAlignment="1">
      <alignment horizontal="justify"/>
    </xf>
    <xf numFmtId="0" fontId="0" fillId="0" borderId="19" xfId="0" applyBorder="1" applyAlignment="1">
      <alignment horizontal="right"/>
    </xf>
    <xf numFmtId="0" fontId="0" fillId="0" borderId="19" xfId="0" applyBorder="1" applyAlignment="1">
      <alignment horizontal="justify"/>
    </xf>
    <xf numFmtId="0" fontId="0" fillId="0" borderId="20" xfId="0" applyBorder="1" applyAlignment="1">
      <alignment horizontal="fill"/>
    </xf>
    <xf numFmtId="0" fontId="0" fillId="0" borderId="33" xfId="0" applyBorder="1" applyAlignment="1">
      <alignment horizontal="fill"/>
    </xf>
    <xf numFmtId="0" fontId="0" fillId="0" borderId="19" xfId="0" applyBorder="1" applyAlignment="1">
      <alignment horizontal="left"/>
    </xf>
    <xf numFmtId="0" fontId="0" fillId="0" borderId="19" xfId="0" applyBorder="1" applyAlignment="1">
      <alignment horizontal="fill"/>
    </xf>
    <xf numFmtId="0" fontId="0" fillId="0" borderId="28" xfId="0" applyBorder="1" applyAlignment="1">
      <alignment horizontal="fill"/>
    </xf>
    <xf numFmtId="0" fontId="0" fillId="0" borderId="28" xfId="0" applyBorder="1" applyAlignment="1">
      <alignment horizontal="centerContinuous"/>
    </xf>
    <xf numFmtId="0" fontId="0" fillId="0" borderId="33" xfId="0" applyBorder="1" applyAlignment="1">
      <alignment horizontal="left"/>
    </xf>
    <xf numFmtId="0" fontId="0" fillId="0" borderId="0" xfId="0" applyAlignment="1">
      <alignment horizontal="left"/>
    </xf>
    <xf numFmtId="0" fontId="0" fillId="0" borderId="0" xfId="0" applyAlignment="1">
      <alignment horizontal="centerContinuous"/>
    </xf>
    <xf numFmtId="0" fontId="0" fillId="0" borderId="20" xfId="0" applyBorder="1" applyAlignment="1">
      <alignment horizontal="left"/>
    </xf>
    <xf numFmtId="0" fontId="0" fillId="0" borderId="22" xfId="0" applyBorder="1" applyAlignment="1">
      <alignment horizontal="fill"/>
    </xf>
    <xf numFmtId="0" fontId="0" fillId="0" borderId="20" xfId="0" applyBorder="1" applyAlignment="1">
      <alignment horizontal="centerContinuous"/>
    </xf>
    <xf numFmtId="0" fontId="0" fillId="0" borderId="0" xfId="0" applyBorder="1" applyAlignment="1" applyProtection="1">
      <alignment horizontal="center"/>
      <protection locked="0"/>
    </xf>
    <xf numFmtId="0" fontId="0" fillId="1" borderId="32" xfId="0" applyFill="1" applyBorder="1" applyAlignment="1" applyProtection="1">
      <alignment horizontal="centerContinuous"/>
      <protection locked="0"/>
    </xf>
    <xf numFmtId="172" fontId="10" fillId="0" borderId="9" xfId="0" applyFont="1" applyAlignment="1">
      <alignment/>
    </xf>
    <xf numFmtId="172" fontId="22" fillId="0" borderId="0" xfId="0" applyFont="1" applyAlignment="1">
      <alignment/>
    </xf>
    <xf numFmtId="172" fontId="22" fillId="0" borderId="8" xfId="0" applyFont="1" applyAlignment="1">
      <alignment/>
    </xf>
    <xf numFmtId="172" fontId="22" fillId="0" borderId="9" xfId="0" applyFont="1" applyAlignment="1">
      <alignment/>
    </xf>
    <xf numFmtId="172" fontId="24" fillId="0" borderId="9" xfId="0" applyFont="1" applyAlignment="1">
      <alignment/>
    </xf>
    <xf numFmtId="0" fontId="0" fillId="0" borderId="0" xfId="0" applyBorder="1" applyAlignment="1" applyProtection="1">
      <alignment/>
      <protection locked="0"/>
    </xf>
    <xf numFmtId="0" fontId="2" fillId="0" borderId="0" xfId="0" applyFont="1" applyBorder="1" applyAlignment="1" applyProtection="1">
      <alignment/>
      <protection locked="0"/>
    </xf>
    <xf numFmtId="0" fontId="0" fillId="1" borderId="0" xfId="0" applyFill="1" applyBorder="1" applyAlignment="1" applyProtection="1">
      <alignment horizontal="center"/>
      <protection locked="0"/>
    </xf>
    <xf numFmtId="172" fontId="22" fillId="0" borderId="20" xfId="0" applyFont="1" applyBorder="1" applyAlignment="1">
      <alignment/>
    </xf>
    <xf numFmtId="172" fontId="21" fillId="0" borderId="20" xfId="0" applyFont="1" applyBorder="1" applyAlignment="1">
      <alignment/>
    </xf>
    <xf numFmtId="2" fontId="11" fillId="0" borderId="0" xfId="0" applyNumberFormat="1" applyFont="1" applyAlignment="1">
      <alignment/>
    </xf>
    <xf numFmtId="2" fontId="10" fillId="0" borderId="1" xfId="0" applyNumberFormat="1" applyFont="1" applyAlignment="1">
      <alignment horizontal="left"/>
    </xf>
    <xf numFmtId="2" fontId="10" fillId="0" borderId="0" xfId="0" applyNumberFormat="1" applyFont="1" applyAlignment="1">
      <alignment horizontal="left"/>
    </xf>
    <xf numFmtId="2" fontId="11" fillId="0" borderId="0" xfId="0" applyNumberFormat="1" applyFont="1" applyAlignment="1">
      <alignment horizontal="center"/>
    </xf>
    <xf numFmtId="2" fontId="11" fillId="0" borderId="2" xfId="0" applyNumberFormat="1" applyFont="1" applyAlignment="1">
      <alignment/>
    </xf>
    <xf numFmtId="2" fontId="11" fillId="0" borderId="4" xfId="0" applyNumberFormat="1" applyFont="1" applyAlignment="1">
      <alignment horizontal="right"/>
    </xf>
    <xf numFmtId="2" fontId="11" fillId="2" borderId="0" xfId="0" applyNumberFormat="1" applyFont="1" applyAlignment="1">
      <alignment/>
    </xf>
    <xf numFmtId="2" fontId="0" fillId="0" borderId="0" xfId="0" applyNumberFormat="1" applyAlignment="1">
      <alignment/>
    </xf>
    <xf numFmtId="2" fontId="23" fillId="0" borderId="0" xfId="0" applyNumberFormat="1" applyFont="1" applyAlignment="1">
      <alignment/>
    </xf>
    <xf numFmtId="2" fontId="20" fillId="0" borderId="0" xfId="0" applyNumberFormat="1" applyFont="1" applyAlignment="1">
      <alignment/>
    </xf>
    <xf numFmtId="2" fontId="24" fillId="0" borderId="0" xfId="0" applyNumberFormat="1" applyFont="1" applyAlignment="1">
      <alignment/>
    </xf>
    <xf numFmtId="2" fontId="25" fillId="0" borderId="0" xfId="0" applyNumberFormat="1" applyFont="1" applyAlignment="1">
      <alignment/>
    </xf>
    <xf numFmtId="2" fontId="14" fillId="0" borderId="0" xfId="0" applyNumberFormat="1" applyFont="1" applyAlignment="1">
      <alignment/>
    </xf>
    <xf numFmtId="2" fontId="11" fillId="0" borderId="8" xfId="0" applyNumberFormat="1" applyFont="1" applyAlignment="1">
      <alignment/>
    </xf>
    <xf numFmtId="2" fontId="0" fillId="0" borderId="20" xfId="0" applyNumberFormat="1" applyBorder="1" applyAlignment="1" applyProtection="1">
      <alignment horizontal="left"/>
      <protection locked="0"/>
    </xf>
    <xf numFmtId="2" fontId="11" fillId="0" borderId="5" xfId="0" applyNumberFormat="1" applyFont="1" applyAlignment="1">
      <alignment horizontal="right"/>
    </xf>
    <xf numFmtId="2" fontId="0" fillId="0" borderId="20" xfId="0" applyNumberFormat="1" applyBorder="1" applyAlignment="1" applyProtection="1">
      <alignment horizontal="right"/>
      <protection locked="0"/>
    </xf>
    <xf numFmtId="2" fontId="11" fillId="0" borderId="11" xfId="0" applyNumberFormat="1" applyFont="1" applyAlignment="1">
      <alignment horizontal="right"/>
    </xf>
    <xf numFmtId="2" fontId="14" fillId="0" borderId="8" xfId="0" applyNumberFormat="1" applyFont="1" applyAlignment="1">
      <alignment/>
    </xf>
    <xf numFmtId="172" fontId="21" fillId="0" borderId="0" xfId="0" applyFont="1" applyBorder="1" applyAlignment="1">
      <alignment/>
    </xf>
    <xf numFmtId="2" fontId="11" fillId="0" borderId="2" xfId="0" applyNumberFormat="1" applyFont="1" applyAlignment="1">
      <alignment horizontal="left"/>
    </xf>
    <xf numFmtId="2" fontId="11" fillId="0" borderId="0" xfId="0" applyNumberFormat="1" applyFont="1" applyAlignment="1">
      <alignment horizontal="right"/>
    </xf>
    <xf numFmtId="1" fontId="11" fillId="2" borderId="8" xfId="0" applyNumberFormat="1" applyFont="1" applyAlignment="1">
      <alignment/>
    </xf>
    <xf numFmtId="1" fontId="11" fillId="0" borderId="8" xfId="0" applyNumberFormat="1" applyFont="1" applyAlignment="1">
      <alignment/>
    </xf>
    <xf numFmtId="1" fontId="22" fillId="0" borderId="8" xfId="0" applyNumberFormat="1" applyFont="1" applyAlignment="1">
      <alignment/>
    </xf>
    <xf numFmtId="1" fontId="24" fillId="0" borderId="8" xfId="0" applyNumberFormat="1" applyFont="1" applyAlignment="1">
      <alignment/>
    </xf>
    <xf numFmtId="1" fontId="22" fillId="0" borderId="0" xfId="0" applyNumberFormat="1" applyFont="1" applyAlignment="1">
      <alignment/>
    </xf>
    <xf numFmtId="1" fontId="21" fillId="0" borderId="0" xfId="0" applyNumberFormat="1" applyFont="1" applyAlignment="1">
      <alignment/>
    </xf>
    <xf numFmtId="1" fontId="10" fillId="0" borderId="8" xfId="0" applyNumberFormat="1" applyFont="1" applyAlignment="1">
      <alignment/>
    </xf>
    <xf numFmtId="1" fontId="14" fillId="0" borderId="8" xfId="0" applyNumberFormat="1" applyFont="1" applyAlignment="1">
      <alignment/>
    </xf>
    <xf numFmtId="9" fontId="0" fillId="0" borderId="0" xfId="0" applyNumberFormat="1" applyAlignment="1">
      <alignment/>
    </xf>
    <xf numFmtId="172" fontId="11" fillId="3" borderId="9" xfId="0" applyFont="1" applyFill="1" applyAlignment="1">
      <alignment/>
    </xf>
    <xf numFmtId="2" fontId="11" fillId="3" borderId="0" xfId="0" applyNumberFormat="1" applyFont="1" applyFill="1" applyAlignment="1">
      <alignment/>
    </xf>
    <xf numFmtId="1" fontId="11" fillId="3" borderId="8" xfId="0" applyNumberFormat="1" applyFont="1" applyFill="1" applyAlignment="1">
      <alignment/>
    </xf>
    <xf numFmtId="0" fontId="0" fillId="0" borderId="0" xfId="0" applyFill="1" applyAlignment="1">
      <alignment/>
    </xf>
    <xf numFmtId="172" fontId="11" fillId="0" borderId="9" xfId="0" applyFont="1" applyFill="1" applyAlignment="1">
      <alignment/>
    </xf>
    <xf numFmtId="2" fontId="11" fillId="0" borderId="4" xfId="0" applyNumberFormat="1" applyFont="1" applyAlignment="1">
      <alignment horizontal="center"/>
    </xf>
    <xf numFmtId="172" fontId="11" fillId="4" borderId="0" xfId="0" applyFont="1" applyFill="1" applyAlignment="1">
      <alignment/>
    </xf>
    <xf numFmtId="2" fontId="11" fillId="4" borderId="0" xfId="0" applyNumberFormat="1" applyFont="1" applyFill="1" applyAlignment="1">
      <alignment/>
    </xf>
    <xf numFmtId="172" fontId="10" fillId="4" borderId="1" xfId="0" applyFont="1" applyFill="1" applyAlignment="1">
      <alignment horizontal="left"/>
    </xf>
    <xf numFmtId="2" fontId="10" fillId="4" borderId="1" xfId="0" applyNumberFormat="1" applyFont="1" applyFill="1" applyAlignment="1">
      <alignment horizontal="left"/>
    </xf>
    <xf numFmtId="172" fontId="10" fillId="4" borderId="0" xfId="0" applyFont="1" applyFill="1" applyAlignment="1">
      <alignment horizontal="left"/>
    </xf>
    <xf numFmtId="2" fontId="10" fillId="4" borderId="0" xfId="0" applyNumberFormat="1" applyFont="1" applyFill="1" applyAlignment="1">
      <alignment horizontal="left"/>
    </xf>
    <xf numFmtId="2" fontId="11" fillId="4" borderId="0" xfId="0" applyNumberFormat="1" applyFont="1" applyFill="1" applyAlignment="1">
      <alignment horizontal="center"/>
    </xf>
    <xf numFmtId="2" fontId="0" fillId="5" borderId="20" xfId="0" applyNumberFormat="1" applyFill="1" applyBorder="1" applyAlignment="1" applyProtection="1">
      <alignment horizontal="left"/>
      <protection locked="0"/>
    </xf>
    <xf numFmtId="172" fontId="11" fillId="4" borderId="2" xfId="0" applyFont="1" applyFill="1" applyAlignment="1">
      <alignment/>
    </xf>
    <xf numFmtId="2" fontId="11" fillId="4" borderId="2" xfId="0" applyNumberFormat="1" applyFont="1" applyFill="1" applyAlignment="1">
      <alignment/>
    </xf>
    <xf numFmtId="172" fontId="11" fillId="4" borderId="6" xfId="0" applyFont="1" applyFill="1" applyAlignment="1">
      <alignment horizontal="right"/>
    </xf>
    <xf numFmtId="2" fontId="11" fillId="4" borderId="5" xfId="0" applyNumberFormat="1" applyFont="1" applyFill="1" applyAlignment="1">
      <alignment horizontal="right"/>
    </xf>
    <xf numFmtId="172" fontId="11" fillId="4" borderId="9" xfId="0" applyFont="1" applyFill="1" applyAlignment="1">
      <alignment horizontal="center"/>
    </xf>
    <xf numFmtId="2" fontId="11" fillId="4" borderId="0" xfId="0" applyNumberFormat="1" applyFont="1" applyFill="1" applyAlignment="1">
      <alignment horizontal="left"/>
    </xf>
    <xf numFmtId="2" fontId="0" fillId="5" borderId="20" xfId="0" applyNumberFormat="1" applyFill="1" applyBorder="1" applyAlignment="1" applyProtection="1">
      <alignment horizontal="right"/>
      <protection locked="0"/>
    </xf>
    <xf numFmtId="172" fontId="11" fillId="4" borderId="34" xfId="0" applyFont="1" applyFill="1" applyAlignment="1">
      <alignment horizontal="right"/>
    </xf>
    <xf numFmtId="2" fontId="11" fillId="4" borderId="2" xfId="0" applyNumberFormat="1" applyFont="1" applyFill="1" applyAlignment="1">
      <alignment horizontal="right"/>
    </xf>
    <xf numFmtId="2" fontId="11" fillId="4" borderId="11" xfId="0" applyNumberFormat="1" applyFont="1" applyFill="1" applyAlignment="1">
      <alignment horizontal="right"/>
    </xf>
    <xf numFmtId="172" fontId="11" fillId="4" borderId="9" xfId="0" applyFont="1" applyFill="1" applyAlignment="1">
      <alignment/>
    </xf>
    <xf numFmtId="2" fontId="11" fillId="4" borderId="8" xfId="0" applyNumberFormat="1" applyFont="1" applyFill="1" applyAlignment="1">
      <alignment/>
    </xf>
    <xf numFmtId="172" fontId="11" fillId="6" borderId="9" xfId="0" applyFont="1" applyFill="1" applyAlignment="1">
      <alignment/>
    </xf>
    <xf numFmtId="2" fontId="11" fillId="6" borderId="0" xfId="0" applyNumberFormat="1" applyFont="1" applyFill="1" applyAlignment="1">
      <alignment/>
    </xf>
    <xf numFmtId="2" fontId="11" fillId="6" borderId="8" xfId="0" applyNumberFormat="1" applyFont="1" applyFill="1" applyAlignment="1">
      <alignment/>
    </xf>
    <xf numFmtId="2" fontId="0" fillId="5" borderId="0" xfId="0" applyNumberFormat="1" applyFill="1" applyAlignment="1">
      <alignment/>
    </xf>
    <xf numFmtId="172" fontId="22" fillId="4" borderId="0" xfId="0" applyFont="1" applyFill="1" applyAlignment="1">
      <alignment/>
    </xf>
    <xf numFmtId="2" fontId="23" fillId="5" borderId="0" xfId="0" applyNumberFormat="1" applyFont="1" applyFill="1" applyAlignment="1">
      <alignment/>
    </xf>
    <xf numFmtId="2" fontId="22" fillId="4" borderId="8" xfId="0" applyNumberFormat="1" applyFont="1" applyFill="1" applyAlignment="1">
      <alignment/>
    </xf>
    <xf numFmtId="172" fontId="22" fillId="4" borderId="9" xfId="0" applyFont="1" applyFill="1" applyAlignment="1">
      <alignment/>
    </xf>
    <xf numFmtId="2" fontId="20" fillId="5" borderId="0" xfId="0" applyNumberFormat="1" applyFont="1" applyFill="1" applyAlignment="1">
      <alignment/>
    </xf>
    <xf numFmtId="172" fontId="24" fillId="4" borderId="9" xfId="0" applyFont="1" applyFill="1" applyAlignment="1">
      <alignment/>
    </xf>
    <xf numFmtId="2" fontId="24" fillId="4" borderId="0" xfId="0" applyNumberFormat="1" applyFont="1" applyFill="1" applyAlignment="1">
      <alignment/>
    </xf>
    <xf numFmtId="2" fontId="24" fillId="4" borderId="8" xfId="0" applyNumberFormat="1" applyFont="1" applyFill="1" applyAlignment="1">
      <alignment/>
    </xf>
    <xf numFmtId="172" fontId="22" fillId="4" borderId="8" xfId="0" applyFont="1" applyFill="1" applyAlignment="1">
      <alignment/>
    </xf>
    <xf numFmtId="172" fontId="22" fillId="4" borderId="20" xfId="0" applyFont="1" applyFill="1" applyBorder="1" applyAlignment="1">
      <alignment/>
    </xf>
    <xf numFmtId="2" fontId="25" fillId="5" borderId="0" xfId="0" applyNumberFormat="1" applyFont="1" applyFill="1" applyAlignment="1">
      <alignment/>
    </xf>
    <xf numFmtId="2" fontId="22" fillId="4" borderId="0" xfId="0" applyNumberFormat="1" applyFont="1" applyFill="1" applyAlignment="1">
      <alignment/>
    </xf>
    <xf numFmtId="172" fontId="21" fillId="4" borderId="20" xfId="0" applyFont="1" applyFill="1" applyBorder="1" applyAlignment="1">
      <alignment/>
    </xf>
    <xf numFmtId="2" fontId="21" fillId="4" borderId="0" xfId="0" applyNumberFormat="1" applyFont="1" applyFill="1" applyAlignment="1">
      <alignment/>
    </xf>
    <xf numFmtId="172" fontId="21" fillId="4" borderId="0" xfId="0" applyFont="1" applyFill="1" applyBorder="1" applyAlignment="1">
      <alignment/>
    </xf>
    <xf numFmtId="172" fontId="10" fillId="4" borderId="9" xfId="0" applyFont="1" applyFill="1" applyAlignment="1">
      <alignment/>
    </xf>
    <xf numFmtId="2" fontId="10" fillId="4" borderId="0" xfId="0" applyNumberFormat="1" applyFont="1" applyFill="1" applyAlignment="1">
      <alignment/>
    </xf>
    <xf numFmtId="2" fontId="10" fillId="4" borderId="8" xfId="0" applyNumberFormat="1" applyFont="1" applyFill="1" applyAlignment="1">
      <alignment/>
    </xf>
    <xf numFmtId="172" fontId="14" fillId="4" borderId="9" xfId="0" applyFont="1" applyFill="1" applyAlignment="1">
      <alignment/>
    </xf>
    <xf numFmtId="2" fontId="14" fillId="4" borderId="0" xfId="0" applyNumberFormat="1" applyFont="1" applyFill="1" applyAlignment="1">
      <alignment/>
    </xf>
    <xf numFmtId="2" fontId="14" fillId="4" borderId="8" xfId="0" applyNumberFormat="1" applyFont="1" applyFill="1" applyAlignment="1">
      <alignment/>
    </xf>
    <xf numFmtId="2" fontId="11" fillId="5" borderId="8" xfId="0" applyNumberFormat="1" applyFont="1" applyFill="1" applyBorder="1" applyAlignment="1">
      <alignment/>
    </xf>
    <xf numFmtId="0" fontId="0" fillId="5" borderId="0" xfId="0" applyFill="1" applyAlignment="1">
      <alignment/>
    </xf>
    <xf numFmtId="2" fontId="11" fillId="4" borderId="4"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EFEFEF"/>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 width="85.8515625" style="0" customWidth="1"/>
    <col min="2" max="16384" width="11.421875" style="0" customWidth="1"/>
  </cols>
  <sheetData>
    <row r="1" ht="12.75">
      <c r="A1" s="1" t="s">
        <v>99</v>
      </c>
    </row>
    <row r="2" ht="12.75">
      <c r="A2" s="67"/>
    </row>
    <row r="3" ht="12.75">
      <c r="A3" s="3" t="s">
        <v>100</v>
      </c>
    </row>
    <row r="4" ht="12.75">
      <c r="A4" s="2" t="s">
        <v>101</v>
      </c>
    </row>
    <row r="5" ht="12.75">
      <c r="A5" s="2" t="s">
        <v>232</v>
      </c>
    </row>
    <row r="6" ht="12.75">
      <c r="A6" s="2" t="s">
        <v>233</v>
      </c>
    </row>
    <row r="7" ht="12.75">
      <c r="A7" s="68"/>
    </row>
    <row r="8" ht="25.5">
      <c r="A8" s="3" t="s">
        <v>234</v>
      </c>
    </row>
    <row r="9" ht="12.75">
      <c r="A9" s="69"/>
    </row>
    <row r="10" ht="25.5">
      <c r="A10" s="3" t="s">
        <v>282</v>
      </c>
    </row>
    <row r="11" ht="12.75">
      <c r="A11" s="70"/>
    </row>
    <row r="12" ht="12.75">
      <c r="A12" s="3" t="s">
        <v>283</v>
      </c>
    </row>
    <row r="13" ht="12.75">
      <c r="A13" s="3" t="s">
        <v>155</v>
      </c>
    </row>
    <row r="14" ht="12.75">
      <c r="A14" s="3" t="s">
        <v>69</v>
      </c>
    </row>
    <row r="15" ht="12.75">
      <c r="A15" s="71"/>
    </row>
    <row r="16" ht="38.25">
      <c r="A16" s="3" t="s">
        <v>117</v>
      </c>
    </row>
    <row r="17" ht="12.75">
      <c r="A17" s="72"/>
    </row>
    <row r="18" ht="38.25">
      <c r="A18" s="3" t="s">
        <v>156</v>
      </c>
    </row>
    <row r="19" ht="12.75">
      <c r="A19" s="73"/>
    </row>
    <row r="20" ht="25.5">
      <c r="A20" s="4" t="s">
        <v>158</v>
      </c>
    </row>
    <row r="21" ht="12.75">
      <c r="A21" s="74"/>
    </row>
    <row r="22" ht="12.75">
      <c r="A22" s="74"/>
    </row>
    <row r="23" ht="12.75">
      <c r="A23" s="5" t="s">
        <v>159</v>
      </c>
    </row>
    <row r="24" ht="12.75">
      <c r="A24" s="5" t="s">
        <v>159</v>
      </c>
    </row>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1:R160"/>
  <sheetViews>
    <sheetView workbookViewId="0" topLeftCell="A1">
      <selection activeCell="K6" sqref="K6"/>
    </sheetView>
  </sheetViews>
  <sheetFormatPr defaultColWidth="9.140625" defaultRowHeight="12.75"/>
  <cols>
    <col min="1" max="1" width="6.00390625" style="0" customWidth="1"/>
    <col min="2" max="4" width="1.7109375" style="0" customWidth="1"/>
    <col min="5" max="5" width="18.7109375" style="0" customWidth="1"/>
    <col min="6" max="6" width="6.00390625" style="231" customWidth="1"/>
    <col min="7" max="7" width="7.8515625" style="208" customWidth="1"/>
    <col min="8" max="8" width="12.8515625" style="208" bestFit="1" customWidth="1"/>
    <col min="9" max="16384" width="11.421875" style="0" customWidth="1"/>
  </cols>
  <sheetData>
    <row r="1" spans="1:16" ht="11.25" customHeight="1">
      <c r="A1" s="6"/>
      <c r="B1" s="7"/>
      <c r="C1" s="7"/>
      <c r="D1" s="7"/>
      <c r="E1" s="7"/>
      <c r="F1" s="185" t="s">
        <v>319</v>
      </c>
      <c r="G1" s="186"/>
      <c r="H1" s="186"/>
      <c r="J1" s="8" t="s">
        <v>245</v>
      </c>
      <c r="K1" s="148"/>
      <c r="L1" s="148"/>
      <c r="N1" s="8" t="s">
        <v>245</v>
      </c>
      <c r="O1" s="148"/>
      <c r="P1" s="148"/>
    </row>
    <row r="2" spans="1:16" ht="11.25" customHeight="1">
      <c r="A2" s="9"/>
      <c r="B2" s="9"/>
      <c r="C2" s="9"/>
      <c r="D2" s="9"/>
      <c r="E2" s="10" t="s">
        <v>160</v>
      </c>
      <c r="F2" s="187" t="s">
        <v>262</v>
      </c>
      <c r="G2" s="188"/>
      <c r="H2" s="188"/>
      <c r="J2" s="11" t="s">
        <v>310</v>
      </c>
      <c r="K2" s="149"/>
      <c r="L2" s="149"/>
      <c r="N2" s="11" t="s">
        <v>310</v>
      </c>
      <c r="O2" s="149"/>
      <c r="P2" s="149"/>
    </row>
    <row r="3" spans="1:16" ht="11.25" customHeight="1">
      <c r="A3" s="9"/>
      <c r="B3" s="9"/>
      <c r="C3" s="9"/>
      <c r="D3" s="9"/>
      <c r="E3" s="6"/>
      <c r="F3" s="189"/>
      <c r="G3" s="190"/>
      <c r="H3" s="190"/>
      <c r="J3" s="6"/>
      <c r="K3" s="150"/>
      <c r="L3" s="150"/>
      <c r="N3" s="6"/>
      <c r="O3" s="150"/>
      <c r="P3" s="150"/>
    </row>
    <row r="4" spans="1:16" ht="11.25" customHeight="1">
      <c r="A4" s="75"/>
      <c r="B4" s="7" t="s">
        <v>159</v>
      </c>
      <c r="C4" s="7"/>
      <c r="D4" s="7"/>
      <c r="E4" s="12" t="s">
        <v>303</v>
      </c>
      <c r="F4" s="185" t="s">
        <v>263</v>
      </c>
      <c r="G4" s="191"/>
      <c r="H4" s="192"/>
      <c r="J4" s="8" t="s">
        <v>314</v>
      </c>
      <c r="K4" s="151"/>
      <c r="L4" s="162"/>
      <c r="N4" s="8" t="s">
        <v>314</v>
      </c>
      <c r="O4" s="151"/>
      <c r="P4" s="162"/>
    </row>
    <row r="5" spans="1:16" ht="11.25" customHeight="1">
      <c r="A5" s="7"/>
      <c r="B5" s="7"/>
      <c r="C5" s="7"/>
      <c r="D5" s="7"/>
      <c r="E5" s="7"/>
      <c r="F5" s="193"/>
      <c r="G5" s="194"/>
      <c r="H5" s="194"/>
      <c r="J5" s="14"/>
      <c r="K5" s="152"/>
      <c r="L5" s="152"/>
      <c r="N5" s="14"/>
      <c r="O5" s="152"/>
      <c r="P5" s="152"/>
    </row>
    <row r="6" spans="1:16" ht="11.25" customHeight="1">
      <c r="A6" s="15" t="s">
        <v>304</v>
      </c>
      <c r="B6" s="16"/>
      <c r="C6" s="16"/>
      <c r="D6" s="17"/>
      <c r="E6" s="16"/>
      <c r="F6" s="195"/>
      <c r="G6" s="232" t="s">
        <v>324</v>
      </c>
      <c r="H6" s="196"/>
      <c r="J6" s="18"/>
      <c r="K6" s="184" t="s">
        <v>329</v>
      </c>
      <c r="L6" s="163"/>
      <c r="N6" s="18"/>
      <c r="O6" s="153" t="s">
        <v>321</v>
      </c>
      <c r="P6" s="163"/>
    </row>
    <row r="7" spans="1:16" ht="11.25" customHeight="1">
      <c r="A7" s="19" t="s">
        <v>305</v>
      </c>
      <c r="B7" s="77"/>
      <c r="C7" s="6" t="s">
        <v>306</v>
      </c>
      <c r="D7" s="20"/>
      <c r="E7" s="7"/>
      <c r="F7" s="197" t="s">
        <v>159</v>
      </c>
      <c r="G7" s="198" t="s">
        <v>315</v>
      </c>
      <c r="H7" s="199"/>
      <c r="J7" s="21" t="s">
        <v>159</v>
      </c>
      <c r="K7" s="169"/>
      <c r="L7" s="164" t="s">
        <v>311</v>
      </c>
      <c r="N7" s="21" t="s">
        <v>159</v>
      </c>
      <c r="O7" s="169"/>
      <c r="P7" s="164" t="s">
        <v>311</v>
      </c>
    </row>
    <row r="8" spans="1:16" ht="11.25" customHeight="1">
      <c r="A8" s="22"/>
      <c r="B8" s="13"/>
      <c r="C8" s="23"/>
      <c r="D8" s="24"/>
      <c r="E8" s="13"/>
      <c r="F8" s="200"/>
      <c r="G8" s="201"/>
      <c r="H8" s="202"/>
      <c r="J8" s="168" t="s">
        <v>312</v>
      </c>
      <c r="L8" s="165">
        <v>1.25</v>
      </c>
      <c r="N8" s="168" t="s">
        <v>312</v>
      </c>
      <c r="P8" s="165">
        <v>1.25</v>
      </c>
    </row>
    <row r="9" spans="1:16" ht="12.75">
      <c r="A9" s="7"/>
      <c r="B9" s="7"/>
      <c r="C9" s="7"/>
      <c r="D9" s="7"/>
      <c r="E9" s="7"/>
      <c r="F9" s="203"/>
      <c r="G9" s="186"/>
      <c r="H9" s="204"/>
      <c r="J9" s="148" t="s">
        <v>316</v>
      </c>
      <c r="K9" s="148"/>
      <c r="L9" s="161">
        <f>0.025*4</f>
        <v>0.1</v>
      </c>
      <c r="N9" s="148" t="s">
        <v>316</v>
      </c>
      <c r="O9" s="148"/>
      <c r="P9" s="161">
        <f>0.025*4</f>
        <v>0.1</v>
      </c>
    </row>
    <row r="10" spans="1:16" ht="12.75">
      <c r="A10" s="7"/>
      <c r="B10" s="7"/>
      <c r="C10" s="7"/>
      <c r="D10" s="7"/>
      <c r="E10" s="7"/>
      <c r="F10" s="203"/>
      <c r="G10" s="186"/>
      <c r="H10" s="204"/>
      <c r="J10" s="25"/>
      <c r="K10" s="148"/>
      <c r="L10" s="161"/>
      <c r="N10" s="25"/>
      <c r="O10" s="148"/>
      <c r="P10" s="161"/>
    </row>
    <row r="11" spans="1:16" ht="11.25" customHeight="1">
      <c r="A11" s="26">
        <v>2500</v>
      </c>
      <c r="B11" s="27" t="s">
        <v>307</v>
      </c>
      <c r="C11" s="26"/>
      <c r="D11" s="26"/>
      <c r="E11" s="26"/>
      <c r="F11" s="205"/>
      <c r="G11" s="206"/>
      <c r="H11" s="207">
        <f>H13-H15</f>
        <v>76143.48999999999</v>
      </c>
      <c r="J11" s="28"/>
      <c r="K11" s="154"/>
      <c r="L11" s="170">
        <f>L13-L15</f>
        <v>45531.427000000025</v>
      </c>
      <c r="N11" s="28"/>
      <c r="O11" s="154"/>
      <c r="P11" s="170">
        <f>P13-P15</f>
        <v>4145.927000000025</v>
      </c>
    </row>
    <row r="12" spans="1:16" ht="11.25" customHeight="1">
      <c r="A12" s="8"/>
      <c r="B12" s="8"/>
      <c r="C12" s="8"/>
      <c r="D12" s="8"/>
      <c r="E12" s="8"/>
      <c r="F12" s="203"/>
      <c r="G12" s="186"/>
      <c r="H12" s="204"/>
      <c r="J12" s="25"/>
      <c r="K12" s="148"/>
      <c r="L12" s="171"/>
      <c r="N12" s="25"/>
      <c r="O12" s="148"/>
      <c r="P12" s="171"/>
    </row>
    <row r="13" spans="1:16" ht="11.25" customHeight="1">
      <c r="A13" s="26">
        <v>1300</v>
      </c>
      <c r="B13" s="27" t="s">
        <v>308</v>
      </c>
      <c r="C13" s="26"/>
      <c r="D13" s="26"/>
      <c r="E13" s="26"/>
      <c r="F13" s="205"/>
      <c r="G13" s="206"/>
      <c r="H13" s="207">
        <f>H18+H71</f>
        <v>433060</v>
      </c>
      <c r="J13" s="28"/>
      <c r="K13" s="154"/>
      <c r="L13" s="170">
        <f>L18+L71</f>
        <v>530975</v>
      </c>
      <c r="N13" s="28"/>
      <c r="O13" s="154"/>
      <c r="P13" s="170">
        <f>P18+P71</f>
        <v>444845</v>
      </c>
    </row>
    <row r="14" spans="1:16" ht="11.25" customHeight="1">
      <c r="A14" s="8"/>
      <c r="B14" s="8"/>
      <c r="C14" s="8"/>
      <c r="D14" s="8"/>
      <c r="E14" s="8"/>
      <c r="F14" s="203"/>
      <c r="G14" s="186"/>
      <c r="H14" s="204"/>
      <c r="J14" s="25"/>
      <c r="K14" s="148"/>
      <c r="L14" s="171"/>
      <c r="N14" s="25"/>
      <c r="O14" s="148"/>
      <c r="P14" s="171"/>
    </row>
    <row r="15" spans="1:16" ht="11.25" customHeight="1">
      <c r="A15" s="26">
        <v>2200</v>
      </c>
      <c r="B15" s="27" t="s">
        <v>249</v>
      </c>
      <c r="C15" s="26"/>
      <c r="D15" s="26"/>
      <c r="E15" s="26"/>
      <c r="F15" s="205"/>
      <c r="G15" s="206"/>
      <c r="H15" s="207">
        <f>H73+H145</f>
        <v>356916.51</v>
      </c>
      <c r="J15" s="28"/>
      <c r="K15" s="154"/>
      <c r="L15" s="170">
        <f>L73+L145</f>
        <v>485443.573</v>
      </c>
      <c r="N15" s="28"/>
      <c r="O15" s="154"/>
      <c r="P15" s="170">
        <f>P73+P145</f>
        <v>440699.073</v>
      </c>
    </row>
    <row r="16" spans="1:16" ht="12.75">
      <c r="A16" s="7"/>
      <c r="B16" s="7"/>
      <c r="C16" s="7"/>
      <c r="D16" s="7"/>
      <c r="E16" s="7"/>
      <c r="F16" s="203"/>
      <c r="G16" s="186"/>
      <c r="H16" s="204"/>
      <c r="J16" s="25"/>
      <c r="K16" s="148"/>
      <c r="L16" s="171"/>
      <c r="N16" s="25"/>
      <c r="O16" s="148"/>
      <c r="P16" s="171"/>
    </row>
    <row r="17" spans="1:16" ht="11.25" customHeight="1">
      <c r="A17" s="7"/>
      <c r="B17" s="7"/>
      <c r="C17" s="7"/>
      <c r="D17" s="7"/>
      <c r="E17" s="7"/>
      <c r="F17" s="203"/>
      <c r="G17" s="186"/>
      <c r="H17" s="204"/>
      <c r="J17" s="25"/>
      <c r="K17" s="148"/>
      <c r="L17" s="171"/>
      <c r="N17" s="25"/>
      <c r="O17" s="148"/>
      <c r="P17" s="171"/>
    </row>
    <row r="18" spans="1:16" ht="11.25" customHeight="1">
      <c r="A18" s="26">
        <v>1100</v>
      </c>
      <c r="B18" s="27" t="s">
        <v>250</v>
      </c>
      <c r="C18" s="26"/>
      <c r="D18" s="26"/>
      <c r="E18" s="26"/>
      <c r="F18" s="205"/>
      <c r="G18" s="206"/>
      <c r="H18" s="207">
        <f>SUM(H20,H54,H59,H64)</f>
        <v>398060</v>
      </c>
      <c r="J18" s="28"/>
      <c r="K18" s="154"/>
      <c r="L18" s="170">
        <f>SUM(L20,L54,L59,L64)</f>
        <v>490975</v>
      </c>
      <c r="N18" s="28"/>
      <c r="O18" s="154"/>
      <c r="P18" s="170">
        <f>SUM(P20,P54,P59,P64)</f>
        <v>404845</v>
      </c>
    </row>
    <row r="19" spans="1:16" ht="11.25" customHeight="1">
      <c r="A19" s="7"/>
      <c r="B19" s="7"/>
      <c r="C19" s="7"/>
      <c r="D19" s="7"/>
      <c r="E19" s="7"/>
      <c r="F19" s="203"/>
      <c r="G19" s="186"/>
      <c r="H19" s="204"/>
      <c r="J19" s="25"/>
      <c r="K19" s="148"/>
      <c r="L19" s="171"/>
      <c r="N19" s="25"/>
      <c r="O19" s="148"/>
      <c r="P19" s="171"/>
    </row>
    <row r="20" spans="1:18" ht="11.25" customHeight="1">
      <c r="A20" s="26">
        <v>600</v>
      </c>
      <c r="B20" s="27" t="s">
        <v>251</v>
      </c>
      <c r="C20" s="26"/>
      <c r="D20" s="26"/>
      <c r="E20" s="26"/>
      <c r="F20" s="205">
        <f>SUM(F22,F23,F24,F28,F29,F30)</f>
        <v>808</v>
      </c>
      <c r="H20" s="207">
        <f>SUM(H22,H23,H24,H28,H29,H30,H37,H52)</f>
        <v>327740</v>
      </c>
      <c r="J20" s="28">
        <f>SUM(J22,J23,J24,J28,J29,J30)</f>
        <v>880</v>
      </c>
      <c r="K20" s="155"/>
      <c r="L20" s="170">
        <f>SUM(L22,L23,L24,L28,L29,L30,L37,L52)</f>
        <v>443240</v>
      </c>
      <c r="N20" s="28">
        <f>SUM(N22,N23,N24,N28,N29,N30)</f>
        <v>721</v>
      </c>
      <c r="O20" s="155"/>
      <c r="P20" s="170">
        <f>SUM(P22,P23,P24,P28,P29,P30,P37,P52)</f>
        <v>360090</v>
      </c>
      <c r="R20" t="s">
        <v>325</v>
      </c>
    </row>
    <row r="21" spans="1:16" ht="11.25" customHeight="1">
      <c r="A21" s="7"/>
      <c r="B21" s="7"/>
      <c r="C21" s="7"/>
      <c r="D21" s="7"/>
      <c r="E21" s="7"/>
      <c r="F21" s="203"/>
      <c r="G21" s="186"/>
      <c r="H21" s="204"/>
      <c r="J21" s="25"/>
      <c r="K21" s="148"/>
      <c r="L21" s="171"/>
      <c r="N21" s="25"/>
      <c r="O21" s="148"/>
      <c r="P21" s="171"/>
    </row>
    <row r="22" spans="1:18" ht="11.25" customHeight="1">
      <c r="A22" s="29">
        <v>610</v>
      </c>
      <c r="B22" s="69"/>
      <c r="C22" s="30" t="s">
        <v>215</v>
      </c>
      <c r="D22" s="7"/>
      <c r="E22" s="7"/>
      <c r="F22" s="209">
        <v>307</v>
      </c>
      <c r="G22" s="210">
        <v>475</v>
      </c>
      <c r="H22" s="211">
        <f>G22*F22</f>
        <v>145825</v>
      </c>
      <c r="J22" s="139">
        <v>331</v>
      </c>
      <c r="K22" s="156">
        <f>$R22-20</f>
        <v>580</v>
      </c>
      <c r="L22" s="172">
        <f>K22*J22</f>
        <v>191980</v>
      </c>
      <c r="N22" s="139">
        <v>270</v>
      </c>
      <c r="O22" s="156">
        <f>$R22-20</f>
        <v>580</v>
      </c>
      <c r="P22" s="172">
        <f>O22*N22</f>
        <v>156600</v>
      </c>
      <c r="R22" s="156">
        <v>600</v>
      </c>
    </row>
    <row r="23" spans="1:18" ht="11.25" customHeight="1">
      <c r="A23" s="29">
        <v>620</v>
      </c>
      <c r="B23" s="79"/>
      <c r="C23" s="30" t="s">
        <v>252</v>
      </c>
      <c r="D23" s="7"/>
      <c r="E23" s="7"/>
      <c r="F23" s="212">
        <v>59</v>
      </c>
      <c r="G23" s="210">
        <v>550</v>
      </c>
      <c r="H23" s="211">
        <f>G23*F23</f>
        <v>32450</v>
      </c>
      <c r="J23" s="141">
        <v>66</v>
      </c>
      <c r="K23" s="156">
        <f aca="true" t="shared" si="0" ref="K23:K33">$R23-20</f>
        <v>680</v>
      </c>
      <c r="L23" s="172">
        <f>K23*J23</f>
        <v>44880</v>
      </c>
      <c r="N23" s="141">
        <v>50</v>
      </c>
      <c r="O23" s="156">
        <f aca="true" t="shared" si="1" ref="O23:O33">$R23-20</f>
        <v>680</v>
      </c>
      <c r="P23" s="172">
        <f>O23*N23</f>
        <v>34000</v>
      </c>
      <c r="R23" s="156">
        <v>700</v>
      </c>
    </row>
    <row r="24" spans="1:18" ht="11.25" customHeight="1">
      <c r="A24" s="29">
        <v>630</v>
      </c>
      <c r="B24" s="80"/>
      <c r="C24" s="30" t="s">
        <v>31</v>
      </c>
      <c r="D24" s="7"/>
      <c r="E24" s="7"/>
      <c r="F24" s="212">
        <f>SUM(F25:F27)</f>
        <v>291</v>
      </c>
      <c r="G24" s="213"/>
      <c r="H24" s="211">
        <f>SUM(H25:H27)</f>
        <v>63325</v>
      </c>
      <c r="J24" s="141">
        <f>SUM(J25:J27)</f>
        <v>318</v>
      </c>
      <c r="K24" s="156"/>
      <c r="L24" s="172">
        <f>SUM(L25:L27)</f>
        <v>84740</v>
      </c>
      <c r="N24" s="141">
        <f>SUM(N25:N27)</f>
        <v>265</v>
      </c>
      <c r="O24" s="156"/>
      <c r="P24" s="172">
        <f>SUM(P25:P27)</f>
        <v>70200</v>
      </c>
      <c r="R24" s="156"/>
    </row>
    <row r="25" spans="1:18" ht="11.25" customHeight="1">
      <c r="A25" s="7">
        <v>633</v>
      </c>
      <c r="B25" s="7"/>
      <c r="C25" s="7"/>
      <c r="D25" s="6" t="s">
        <v>32</v>
      </c>
      <c r="E25" s="81"/>
      <c r="F25" s="214">
        <v>5</v>
      </c>
      <c r="G25" s="215">
        <v>225</v>
      </c>
      <c r="H25" s="216">
        <f>G25*F25</f>
        <v>1125</v>
      </c>
      <c r="J25" s="142">
        <v>5</v>
      </c>
      <c r="K25" s="156">
        <f t="shared" si="0"/>
        <v>280</v>
      </c>
      <c r="L25" s="173">
        <f>K25*J25</f>
        <v>1400</v>
      </c>
      <c r="N25" s="142">
        <v>5</v>
      </c>
      <c r="O25" s="156">
        <f t="shared" si="1"/>
        <v>280</v>
      </c>
      <c r="P25" s="173">
        <f>O25*N25</f>
        <v>1400</v>
      </c>
      <c r="R25" s="156">
        <v>300</v>
      </c>
    </row>
    <row r="26" spans="1:18" ht="11.25" customHeight="1">
      <c r="A26" s="7" t="s">
        <v>52</v>
      </c>
      <c r="B26" s="7"/>
      <c r="C26" s="7"/>
      <c r="D26" s="6" t="s">
        <v>132</v>
      </c>
      <c r="E26" s="82"/>
      <c r="F26" s="214">
        <v>43</v>
      </c>
      <c r="G26" s="215">
        <v>175</v>
      </c>
      <c r="H26" s="216">
        <f>G26*F26</f>
        <v>7525</v>
      </c>
      <c r="J26" s="142">
        <v>43</v>
      </c>
      <c r="K26" s="156">
        <f t="shared" si="0"/>
        <v>180</v>
      </c>
      <c r="L26" s="173">
        <f>K26*J26</f>
        <v>7740</v>
      </c>
      <c r="N26" s="142">
        <v>40</v>
      </c>
      <c r="O26" s="156">
        <f t="shared" si="1"/>
        <v>180</v>
      </c>
      <c r="P26" s="173">
        <f>O26*N26</f>
        <v>7200</v>
      </c>
      <c r="R26" s="156">
        <v>200</v>
      </c>
    </row>
    <row r="27" spans="1:18" ht="11.25" customHeight="1">
      <c r="A27" s="7" t="s">
        <v>53</v>
      </c>
      <c r="B27" s="7"/>
      <c r="C27" s="7"/>
      <c r="D27" s="6" t="s">
        <v>33</v>
      </c>
      <c r="E27" s="82"/>
      <c r="F27" s="214">
        <v>243</v>
      </c>
      <c r="G27" s="215">
        <v>225</v>
      </c>
      <c r="H27" s="216">
        <f>G27*F27</f>
        <v>54675</v>
      </c>
      <c r="J27" s="142">
        <v>270</v>
      </c>
      <c r="K27" s="156">
        <f t="shared" si="0"/>
        <v>280</v>
      </c>
      <c r="L27" s="173">
        <f>K27*J27</f>
        <v>75600</v>
      </c>
      <c r="N27" s="142">
        <v>220</v>
      </c>
      <c r="O27" s="156">
        <f t="shared" si="1"/>
        <v>280</v>
      </c>
      <c r="P27" s="173">
        <f>O27*N27</f>
        <v>61600</v>
      </c>
      <c r="R27" s="156">
        <v>300</v>
      </c>
    </row>
    <row r="28" spans="1:18" ht="10.5" customHeight="1">
      <c r="A28" s="29">
        <v>660</v>
      </c>
      <c r="B28" s="83"/>
      <c r="C28" s="30" t="s">
        <v>157</v>
      </c>
      <c r="D28" s="7"/>
      <c r="E28" s="7"/>
      <c r="F28" s="212">
        <v>81</v>
      </c>
      <c r="G28" s="210">
        <v>550</v>
      </c>
      <c r="H28" s="211">
        <f>F28*G28</f>
        <v>44550</v>
      </c>
      <c r="J28" s="141">
        <v>90</v>
      </c>
      <c r="K28" s="156">
        <f t="shared" si="0"/>
        <v>680</v>
      </c>
      <c r="L28" s="172">
        <f>J28*K28</f>
        <v>61200</v>
      </c>
      <c r="N28" s="141">
        <v>75</v>
      </c>
      <c r="O28" s="156">
        <f t="shared" si="1"/>
        <v>680</v>
      </c>
      <c r="P28" s="172">
        <f>N28*O28</f>
        <v>51000</v>
      </c>
      <c r="R28" s="156">
        <v>700</v>
      </c>
    </row>
    <row r="29" spans="1:18" ht="11.25" customHeight="1">
      <c r="A29" s="29">
        <v>670</v>
      </c>
      <c r="B29" s="84"/>
      <c r="C29" s="30" t="s">
        <v>258</v>
      </c>
      <c r="D29" s="7"/>
      <c r="E29" s="7"/>
      <c r="F29" s="217">
        <v>14</v>
      </c>
      <c r="G29" s="210">
        <v>650</v>
      </c>
      <c r="H29" s="211">
        <f>F29*G29</f>
        <v>9100</v>
      </c>
      <c r="J29" s="140">
        <v>14</v>
      </c>
      <c r="K29" s="156">
        <f t="shared" si="0"/>
        <v>780</v>
      </c>
      <c r="L29" s="172">
        <f>J29*K29</f>
        <v>10920</v>
      </c>
      <c r="N29" s="140">
        <v>10</v>
      </c>
      <c r="O29" s="156">
        <f t="shared" si="1"/>
        <v>780</v>
      </c>
      <c r="P29" s="172">
        <f>N29*O29</f>
        <v>7800</v>
      </c>
      <c r="R29" s="156">
        <v>800</v>
      </c>
    </row>
    <row r="30" spans="1:18" ht="11.25" customHeight="1">
      <c r="A30" s="29">
        <v>680</v>
      </c>
      <c r="B30" s="85"/>
      <c r="C30" s="30" t="s">
        <v>216</v>
      </c>
      <c r="D30" s="7"/>
      <c r="E30" s="7"/>
      <c r="F30" s="212">
        <f>SUM(F31:F32)</f>
        <v>56</v>
      </c>
      <c r="G30" s="213"/>
      <c r="H30" s="211">
        <f>SUM(H31:H33)</f>
        <v>15850</v>
      </c>
      <c r="J30" s="141">
        <f>SUM(J31:J32)</f>
        <v>61</v>
      </c>
      <c r="K30" s="156"/>
      <c r="L30" s="172">
        <f>SUM(L31:L33)</f>
        <v>20590</v>
      </c>
      <c r="N30" s="141">
        <f>SUM(N31:N32)</f>
        <v>51</v>
      </c>
      <c r="O30" s="156"/>
      <c r="P30" s="172">
        <f>SUM(P31:P33)</f>
        <v>17290</v>
      </c>
      <c r="R30" s="156"/>
    </row>
    <row r="31" spans="1:18" ht="11.25" customHeight="1">
      <c r="A31" s="7">
        <v>683</v>
      </c>
      <c r="B31" s="7"/>
      <c r="C31" s="7"/>
      <c r="D31" s="6" t="s">
        <v>32</v>
      </c>
      <c r="E31" s="81"/>
      <c r="F31" s="214">
        <v>6</v>
      </c>
      <c r="G31" s="215">
        <v>275</v>
      </c>
      <c r="H31" s="216">
        <f>G31*F31</f>
        <v>1650</v>
      </c>
      <c r="J31" s="142">
        <v>6</v>
      </c>
      <c r="K31" s="156">
        <f t="shared" si="0"/>
        <v>330</v>
      </c>
      <c r="L31" s="173">
        <f>K31*J31</f>
        <v>1980</v>
      </c>
      <c r="N31" s="142">
        <v>6</v>
      </c>
      <c r="O31" s="156">
        <f t="shared" si="1"/>
        <v>330</v>
      </c>
      <c r="P31" s="173">
        <f>O31*N31</f>
        <v>1980</v>
      </c>
      <c r="R31" s="156">
        <v>350</v>
      </c>
    </row>
    <row r="32" spans="1:18" ht="11.25" customHeight="1">
      <c r="A32" s="7">
        <v>684</v>
      </c>
      <c r="B32" s="7"/>
      <c r="C32" s="7"/>
      <c r="D32" s="6" t="s">
        <v>33</v>
      </c>
      <c r="E32" s="82"/>
      <c r="F32" s="214">
        <v>50</v>
      </c>
      <c r="G32" s="215">
        <v>275</v>
      </c>
      <c r="H32" s="216">
        <f>G32*F32</f>
        <v>13750</v>
      </c>
      <c r="J32" s="142">
        <v>55</v>
      </c>
      <c r="K32" s="156">
        <f t="shared" si="0"/>
        <v>330</v>
      </c>
      <c r="L32" s="173">
        <f>K32*J32</f>
        <v>18150</v>
      </c>
      <c r="N32" s="142">
        <v>45</v>
      </c>
      <c r="O32" s="156">
        <f t="shared" si="1"/>
        <v>330</v>
      </c>
      <c r="P32" s="173">
        <f>O32*N32</f>
        <v>14850</v>
      </c>
      <c r="R32" s="156">
        <v>350</v>
      </c>
    </row>
    <row r="33" spans="1:18" ht="11.25" customHeight="1">
      <c r="A33" s="7"/>
      <c r="B33" s="7"/>
      <c r="C33" s="7"/>
      <c r="D33" s="6" t="s">
        <v>200</v>
      </c>
      <c r="E33" s="143"/>
      <c r="F33" s="214">
        <v>2</v>
      </c>
      <c r="G33" s="215">
        <v>225</v>
      </c>
      <c r="H33" s="216">
        <f>G33*F33</f>
        <v>450</v>
      </c>
      <c r="J33" s="142">
        <v>2</v>
      </c>
      <c r="K33" s="156">
        <f t="shared" si="0"/>
        <v>230</v>
      </c>
      <c r="L33" s="173">
        <f>K33*J33</f>
        <v>460</v>
      </c>
      <c r="N33" s="142">
        <v>2</v>
      </c>
      <c r="O33" s="156">
        <f t="shared" si="1"/>
        <v>230</v>
      </c>
      <c r="P33" s="173">
        <f>O33*N33</f>
        <v>460</v>
      </c>
      <c r="R33" s="156">
        <v>250</v>
      </c>
    </row>
    <row r="34" spans="1:16" ht="11.25" customHeight="1">
      <c r="A34" s="7"/>
      <c r="B34" s="7"/>
      <c r="C34" s="7"/>
      <c r="D34" s="6"/>
      <c r="E34" s="143"/>
      <c r="F34" s="214"/>
      <c r="G34" s="215"/>
      <c r="H34" s="216"/>
      <c r="J34" s="142"/>
      <c r="K34" s="158"/>
      <c r="L34" s="173"/>
      <c r="N34" s="142"/>
      <c r="O34" s="158"/>
      <c r="P34" s="173"/>
    </row>
    <row r="35" spans="1:16" ht="11.25" customHeight="1">
      <c r="A35" s="7"/>
      <c r="B35" s="7" t="s">
        <v>265</v>
      </c>
      <c r="C35" s="7"/>
      <c r="D35" s="6"/>
      <c r="E35" s="143"/>
      <c r="F35" s="214">
        <v>17</v>
      </c>
      <c r="G35" s="215">
        <v>0</v>
      </c>
      <c r="H35" s="216">
        <v>0</v>
      </c>
      <c r="J35" s="142">
        <v>17</v>
      </c>
      <c r="K35" s="158">
        <v>0</v>
      </c>
      <c r="L35" s="173">
        <v>0</v>
      </c>
      <c r="N35" s="142">
        <v>17</v>
      </c>
      <c r="O35" s="158">
        <v>0</v>
      </c>
      <c r="P35" s="173">
        <v>0</v>
      </c>
    </row>
    <row r="36" spans="1:16" ht="11.25" customHeight="1">
      <c r="A36" s="7"/>
      <c r="B36" s="7"/>
      <c r="C36" s="7"/>
      <c r="D36" s="6"/>
      <c r="E36" s="143"/>
      <c r="F36" s="214"/>
      <c r="G36" s="215"/>
      <c r="H36" s="216"/>
      <c r="J36" s="142"/>
      <c r="K36" s="158"/>
      <c r="L36" s="173"/>
      <c r="N36" s="142"/>
      <c r="O36" s="158"/>
      <c r="P36" s="173"/>
    </row>
    <row r="37" spans="1:16" ht="11.25" customHeight="1">
      <c r="A37" s="7"/>
      <c r="B37" s="29" t="s">
        <v>36</v>
      </c>
      <c r="C37" s="30"/>
      <c r="D37" s="30"/>
      <c r="E37" s="144"/>
      <c r="F37" s="218">
        <f>SUM(F38:F49)</f>
        <v>355</v>
      </c>
      <c r="G37" s="219"/>
      <c r="H37" s="220">
        <f>SUM(H38:H49)</f>
        <v>16240</v>
      </c>
      <c r="J37" s="146">
        <f>SUM(J38:J49)</f>
        <v>390.5</v>
      </c>
      <c r="K37" s="159"/>
      <c r="L37" s="174">
        <f>SUM(L38:L49)</f>
        <v>28930</v>
      </c>
      <c r="N37" s="146">
        <f>SUM(N38:N49)</f>
        <v>316</v>
      </c>
      <c r="O37" s="159"/>
      <c r="P37" s="174">
        <f>SUM(P38:P49)</f>
        <v>23200</v>
      </c>
    </row>
    <row r="38" spans="1:16" ht="11.25" customHeight="1">
      <c r="A38" s="7"/>
      <c r="B38" s="7"/>
      <c r="C38" s="7" t="s">
        <v>37</v>
      </c>
      <c r="D38" s="6"/>
      <c r="E38" s="143"/>
      <c r="F38" s="221">
        <v>66</v>
      </c>
      <c r="G38" s="213">
        <v>60</v>
      </c>
      <c r="H38" s="222">
        <f>F38*G38</f>
        <v>3960</v>
      </c>
      <c r="J38" s="147">
        <f>F38*1.1</f>
        <v>72.60000000000001</v>
      </c>
      <c r="K38" s="157">
        <v>100</v>
      </c>
      <c r="L38" s="175">
        <f>J38*K38</f>
        <v>7260.000000000001</v>
      </c>
      <c r="N38" s="147">
        <v>55</v>
      </c>
      <c r="O38" s="157">
        <v>100</v>
      </c>
      <c r="P38" s="175">
        <f>N38*O38</f>
        <v>5500</v>
      </c>
    </row>
    <row r="39" spans="1:16" ht="11.25" customHeight="1">
      <c r="A39" s="7"/>
      <c r="B39" s="7"/>
      <c r="C39" s="7" t="s">
        <v>38</v>
      </c>
      <c r="D39" s="6"/>
      <c r="E39" s="143"/>
      <c r="F39" s="221">
        <v>19</v>
      </c>
      <c r="G39" s="213">
        <v>80</v>
      </c>
      <c r="H39" s="222">
        <f aca="true" t="shared" si="2" ref="H39:H49">F39*G39</f>
        <v>1520</v>
      </c>
      <c r="J39" s="147">
        <f aca="true" t="shared" si="3" ref="J39:J49">F39*1.1</f>
        <v>20.900000000000002</v>
      </c>
      <c r="K39" s="157">
        <v>120</v>
      </c>
      <c r="L39" s="175">
        <f aca="true" t="shared" si="4" ref="L39:L49">J39*K39</f>
        <v>2508.0000000000005</v>
      </c>
      <c r="N39" s="147">
        <v>15</v>
      </c>
      <c r="O39" s="157">
        <v>120</v>
      </c>
      <c r="P39" s="175">
        <f aca="true" t="shared" si="5" ref="P39:P49">N39*O39</f>
        <v>1800</v>
      </c>
    </row>
    <row r="40" spans="1:16" ht="11.25" customHeight="1">
      <c r="A40" s="7"/>
      <c r="B40" s="7"/>
      <c r="C40" s="7" t="s">
        <v>14</v>
      </c>
      <c r="D40" s="6"/>
      <c r="E40" s="143"/>
      <c r="F40" s="221">
        <v>94</v>
      </c>
      <c r="G40" s="213">
        <v>40</v>
      </c>
      <c r="H40" s="222">
        <f t="shared" si="2"/>
        <v>3760</v>
      </c>
      <c r="J40" s="147">
        <f t="shared" si="3"/>
        <v>103.4</v>
      </c>
      <c r="K40" s="157">
        <v>50</v>
      </c>
      <c r="L40" s="175">
        <f t="shared" si="4"/>
        <v>5170</v>
      </c>
      <c r="N40" s="147">
        <v>90</v>
      </c>
      <c r="O40" s="157">
        <v>50</v>
      </c>
      <c r="P40" s="175">
        <f t="shared" si="5"/>
        <v>4500</v>
      </c>
    </row>
    <row r="41" spans="1:16" ht="11.25" customHeight="1">
      <c r="A41" s="7"/>
      <c r="B41" s="7"/>
      <c r="C41" s="7" t="s">
        <v>15</v>
      </c>
      <c r="D41" s="6"/>
      <c r="E41" s="143"/>
      <c r="F41" s="221">
        <v>37</v>
      </c>
      <c r="G41" s="213">
        <v>30</v>
      </c>
      <c r="H41" s="222">
        <f t="shared" si="2"/>
        <v>1110</v>
      </c>
      <c r="J41" s="147">
        <f t="shared" si="3"/>
        <v>40.7</v>
      </c>
      <c r="K41" s="157">
        <v>80</v>
      </c>
      <c r="L41" s="175">
        <f t="shared" si="4"/>
        <v>3256</v>
      </c>
      <c r="N41" s="147">
        <v>33</v>
      </c>
      <c r="O41" s="157">
        <v>80</v>
      </c>
      <c r="P41" s="175">
        <f t="shared" si="5"/>
        <v>2640</v>
      </c>
    </row>
    <row r="42" spans="1:16" ht="11.25" customHeight="1">
      <c r="A42" s="7"/>
      <c r="B42" s="7"/>
      <c r="C42" s="7" t="s">
        <v>16</v>
      </c>
      <c r="D42" s="6"/>
      <c r="E42" s="143"/>
      <c r="F42" s="221">
        <v>10</v>
      </c>
      <c r="G42" s="213">
        <v>40</v>
      </c>
      <c r="H42" s="222">
        <f t="shared" si="2"/>
        <v>400</v>
      </c>
      <c r="J42" s="147">
        <f t="shared" si="3"/>
        <v>11</v>
      </c>
      <c r="K42" s="157">
        <v>100</v>
      </c>
      <c r="L42" s="175">
        <f t="shared" si="4"/>
        <v>1100</v>
      </c>
      <c r="N42" s="147">
        <v>10</v>
      </c>
      <c r="O42" s="157">
        <v>100</v>
      </c>
      <c r="P42" s="175">
        <f t="shared" si="5"/>
        <v>1000</v>
      </c>
    </row>
    <row r="43" spans="1:16" ht="11.25" customHeight="1">
      <c r="A43" s="7"/>
      <c r="B43" s="7"/>
      <c r="C43" s="7" t="s">
        <v>17</v>
      </c>
      <c r="D43" s="6"/>
      <c r="E43" s="143"/>
      <c r="F43" s="221">
        <v>54</v>
      </c>
      <c r="G43" s="213">
        <v>20</v>
      </c>
      <c r="H43" s="222">
        <f t="shared" si="2"/>
        <v>1080</v>
      </c>
      <c r="J43" s="147">
        <f t="shared" si="3"/>
        <v>59.400000000000006</v>
      </c>
      <c r="K43" s="157">
        <v>40</v>
      </c>
      <c r="L43" s="175">
        <f t="shared" si="4"/>
        <v>2376</v>
      </c>
      <c r="N43" s="147">
        <v>50</v>
      </c>
      <c r="O43" s="157">
        <v>40</v>
      </c>
      <c r="P43" s="175">
        <f t="shared" si="5"/>
        <v>2000</v>
      </c>
    </row>
    <row r="44" spans="1:16" ht="11.25" customHeight="1">
      <c r="A44" s="7"/>
      <c r="B44" s="7"/>
      <c r="C44" s="7" t="s">
        <v>18</v>
      </c>
      <c r="D44" s="6"/>
      <c r="E44" s="143"/>
      <c r="F44" s="221">
        <v>12</v>
      </c>
      <c r="G44" s="213">
        <v>80</v>
      </c>
      <c r="H44" s="222">
        <f t="shared" si="2"/>
        <v>960</v>
      </c>
      <c r="J44" s="147">
        <f t="shared" si="3"/>
        <v>13.200000000000001</v>
      </c>
      <c r="K44" s="157">
        <v>120</v>
      </c>
      <c r="L44" s="175">
        <f t="shared" si="4"/>
        <v>1584.0000000000002</v>
      </c>
      <c r="N44" s="147">
        <v>10</v>
      </c>
      <c r="O44" s="157">
        <v>120</v>
      </c>
      <c r="P44" s="175">
        <f t="shared" si="5"/>
        <v>1200</v>
      </c>
    </row>
    <row r="45" spans="1:16" ht="11.25" customHeight="1">
      <c r="A45" s="7"/>
      <c r="B45" s="7"/>
      <c r="C45" s="7" t="s">
        <v>19</v>
      </c>
      <c r="D45" s="6"/>
      <c r="E45" s="143"/>
      <c r="F45" s="221">
        <v>8</v>
      </c>
      <c r="G45" s="213">
        <v>100</v>
      </c>
      <c r="H45" s="222">
        <f t="shared" si="2"/>
        <v>800</v>
      </c>
      <c r="J45" s="147">
        <f t="shared" si="3"/>
        <v>8.8</v>
      </c>
      <c r="K45" s="157">
        <v>140</v>
      </c>
      <c r="L45" s="175">
        <f t="shared" si="4"/>
        <v>1232</v>
      </c>
      <c r="N45" s="147">
        <v>8</v>
      </c>
      <c r="O45" s="157">
        <v>140</v>
      </c>
      <c r="P45" s="175">
        <f t="shared" si="5"/>
        <v>1120</v>
      </c>
    </row>
    <row r="46" spans="1:16" ht="11.25" customHeight="1">
      <c r="A46" s="7"/>
      <c r="B46" s="7"/>
      <c r="C46" s="7" t="s">
        <v>20</v>
      </c>
      <c r="D46" s="6"/>
      <c r="E46" s="143"/>
      <c r="F46" s="221">
        <v>26</v>
      </c>
      <c r="G46" s="213">
        <v>60</v>
      </c>
      <c r="H46" s="222">
        <f t="shared" si="2"/>
        <v>1560</v>
      </c>
      <c r="J46" s="147">
        <f t="shared" si="3"/>
        <v>28.6</v>
      </c>
      <c r="K46" s="157">
        <v>60</v>
      </c>
      <c r="L46" s="175">
        <f t="shared" si="4"/>
        <v>1716</v>
      </c>
      <c r="N46" s="147">
        <v>20</v>
      </c>
      <c r="O46" s="157">
        <v>60</v>
      </c>
      <c r="P46" s="175">
        <f t="shared" si="5"/>
        <v>1200</v>
      </c>
    </row>
    <row r="47" spans="1:16" ht="11.25" customHeight="1">
      <c r="A47" s="7"/>
      <c r="B47" s="7"/>
      <c r="C47" s="7" t="s">
        <v>21</v>
      </c>
      <c r="D47" s="6"/>
      <c r="E47" s="143"/>
      <c r="F47" s="221">
        <v>8</v>
      </c>
      <c r="G47" s="213">
        <v>40</v>
      </c>
      <c r="H47" s="222">
        <f t="shared" si="2"/>
        <v>320</v>
      </c>
      <c r="J47" s="147">
        <f t="shared" si="3"/>
        <v>8.8</v>
      </c>
      <c r="K47" s="157">
        <v>100</v>
      </c>
      <c r="L47" s="175">
        <f t="shared" si="4"/>
        <v>880.0000000000001</v>
      </c>
      <c r="N47" s="147">
        <v>8</v>
      </c>
      <c r="O47" s="157">
        <v>100</v>
      </c>
      <c r="P47" s="175">
        <f t="shared" si="5"/>
        <v>800</v>
      </c>
    </row>
    <row r="48" spans="1:16" ht="11.25" customHeight="1">
      <c r="A48" s="7"/>
      <c r="B48" s="7"/>
      <c r="C48" s="7" t="s">
        <v>103</v>
      </c>
      <c r="D48" s="6"/>
      <c r="E48" s="143"/>
      <c r="F48" s="221">
        <v>7</v>
      </c>
      <c r="G48" s="213">
        <v>50</v>
      </c>
      <c r="H48" s="222">
        <f t="shared" si="2"/>
        <v>350</v>
      </c>
      <c r="J48" s="147">
        <f t="shared" si="3"/>
        <v>7.700000000000001</v>
      </c>
      <c r="K48" s="157">
        <v>120</v>
      </c>
      <c r="L48" s="175">
        <f t="shared" si="4"/>
        <v>924.0000000000001</v>
      </c>
      <c r="N48" s="147">
        <v>7</v>
      </c>
      <c r="O48" s="157">
        <v>120</v>
      </c>
      <c r="P48" s="175">
        <f t="shared" si="5"/>
        <v>840</v>
      </c>
    </row>
    <row r="49" spans="1:16" ht="11.25" customHeight="1">
      <c r="A49" s="7"/>
      <c r="B49" s="7"/>
      <c r="C49" s="7" t="s">
        <v>104</v>
      </c>
      <c r="D49" s="6"/>
      <c r="E49" s="143"/>
      <c r="F49" s="221">
        <v>14</v>
      </c>
      <c r="G49" s="213">
        <v>30</v>
      </c>
      <c r="H49" s="222">
        <f t="shared" si="2"/>
        <v>420</v>
      </c>
      <c r="J49" s="147">
        <f t="shared" si="3"/>
        <v>15.400000000000002</v>
      </c>
      <c r="K49" s="157">
        <v>60</v>
      </c>
      <c r="L49" s="175">
        <f t="shared" si="4"/>
        <v>924.0000000000001</v>
      </c>
      <c r="N49" s="147">
        <v>10</v>
      </c>
      <c r="O49" s="157">
        <v>60</v>
      </c>
      <c r="P49" s="175">
        <f t="shared" si="5"/>
        <v>600</v>
      </c>
    </row>
    <row r="50" spans="1:16" ht="11.25" customHeight="1">
      <c r="A50" s="7"/>
      <c r="B50" s="7"/>
      <c r="C50" s="7"/>
      <c r="D50" s="6"/>
      <c r="E50" s="143"/>
      <c r="F50" s="223"/>
      <c r="G50" s="213"/>
      <c r="H50" s="222"/>
      <c r="J50" s="167"/>
      <c r="K50" s="157"/>
      <c r="L50" s="175"/>
      <c r="N50" s="167"/>
      <c r="O50" s="157"/>
      <c r="P50" s="175"/>
    </row>
    <row r="51" spans="1:16" ht="11.25" customHeight="1">
      <c r="A51" s="7"/>
      <c r="B51" s="7"/>
      <c r="C51" s="7"/>
      <c r="D51" s="6"/>
      <c r="E51" s="143"/>
      <c r="F51" s="223"/>
      <c r="G51" s="213"/>
      <c r="H51" s="222"/>
      <c r="J51" s="167"/>
      <c r="K51" s="157"/>
      <c r="L51" s="175"/>
      <c r="N51" s="167"/>
      <c r="O51" s="157"/>
      <c r="P51" s="175"/>
    </row>
    <row r="52" spans="1:16" ht="11.25" customHeight="1">
      <c r="A52" s="7"/>
      <c r="B52" s="29" t="s">
        <v>302</v>
      </c>
      <c r="C52" s="7"/>
      <c r="D52" s="7"/>
      <c r="E52" s="7"/>
      <c r="F52" s="203"/>
      <c r="G52" s="186"/>
      <c r="H52" s="204">
        <v>400</v>
      </c>
      <c r="J52" s="25"/>
      <c r="K52" s="148"/>
      <c r="L52" s="171">
        <v>0</v>
      </c>
      <c r="N52" s="25"/>
      <c r="O52" s="148"/>
      <c r="P52" s="171">
        <v>0</v>
      </c>
    </row>
    <row r="53" spans="1:16" ht="11.25" customHeight="1">
      <c r="A53" s="7"/>
      <c r="B53" s="7"/>
      <c r="C53" s="7"/>
      <c r="D53" s="7"/>
      <c r="E53" s="7"/>
      <c r="F53" s="203"/>
      <c r="G53" s="186"/>
      <c r="H53" s="204"/>
      <c r="J53" s="25"/>
      <c r="K53" s="148"/>
      <c r="L53" s="171"/>
      <c r="N53" s="25"/>
      <c r="O53" s="148"/>
      <c r="P53" s="171"/>
    </row>
    <row r="54" spans="1:16" ht="11.25" customHeight="1">
      <c r="A54" s="26">
        <v>800</v>
      </c>
      <c r="B54" s="27" t="s">
        <v>172</v>
      </c>
      <c r="C54" s="26"/>
      <c r="D54" s="26"/>
      <c r="E54" s="26"/>
      <c r="F54" s="205"/>
      <c r="G54" s="206"/>
      <c r="H54" s="207">
        <f>SUM(H55:H57)</f>
        <v>2100</v>
      </c>
      <c r="J54" s="28"/>
      <c r="K54" s="154"/>
      <c r="L54" s="170">
        <f>SUM(L55:L57)</f>
        <v>2835</v>
      </c>
      <c r="N54" s="28"/>
      <c r="O54" s="154"/>
      <c r="P54" s="170">
        <f>SUM(P55:P57)</f>
        <v>2835</v>
      </c>
    </row>
    <row r="55" spans="1:16" ht="11.25" customHeight="1">
      <c r="A55" s="7">
        <v>810</v>
      </c>
      <c r="B55" s="88"/>
      <c r="C55" s="6" t="s">
        <v>213</v>
      </c>
      <c r="D55" s="7"/>
      <c r="E55" s="7"/>
      <c r="F55" s="224">
        <v>1</v>
      </c>
      <c r="G55" s="225">
        <v>900</v>
      </c>
      <c r="H55" s="226">
        <f>F55*G55</f>
        <v>900</v>
      </c>
      <c r="J55" s="138">
        <v>1</v>
      </c>
      <c r="K55" s="161">
        <f>G55*($L$8+$L$9)</f>
        <v>1215</v>
      </c>
      <c r="L55" s="176">
        <f>J55*K55</f>
        <v>1215</v>
      </c>
      <c r="N55" s="138">
        <v>1</v>
      </c>
      <c r="O55" s="161">
        <f>$G55*($L$8+$L$9)</f>
        <v>1215</v>
      </c>
      <c r="P55" s="176">
        <f>N55*O55</f>
        <v>1215</v>
      </c>
    </row>
    <row r="56" spans="1:16" ht="11.25" customHeight="1">
      <c r="A56" s="7">
        <v>820</v>
      </c>
      <c r="B56" s="89"/>
      <c r="C56" s="6" t="s">
        <v>94</v>
      </c>
      <c r="D56" s="7"/>
      <c r="E56" s="7"/>
      <c r="F56" s="224">
        <v>1</v>
      </c>
      <c r="G56" s="225">
        <v>700</v>
      </c>
      <c r="H56" s="226">
        <f>F56*G56</f>
        <v>700</v>
      </c>
      <c r="J56" s="138">
        <v>1</v>
      </c>
      <c r="K56" s="161">
        <f>G56*($L$8+$L$9)</f>
        <v>945.0000000000001</v>
      </c>
      <c r="L56" s="176">
        <f>J56*K56</f>
        <v>945.0000000000001</v>
      </c>
      <c r="N56" s="138">
        <v>1</v>
      </c>
      <c r="O56" s="161">
        <f>$G56*($L$8+$L$9)</f>
        <v>945.0000000000001</v>
      </c>
      <c r="P56" s="176">
        <f>N56*O56</f>
        <v>945.0000000000001</v>
      </c>
    </row>
    <row r="57" spans="1:16" ht="11.25" customHeight="1">
      <c r="A57" s="7">
        <v>840</v>
      </c>
      <c r="B57" s="90"/>
      <c r="C57" s="6" t="s">
        <v>212</v>
      </c>
      <c r="D57" s="7"/>
      <c r="E57" s="7"/>
      <c r="F57" s="224">
        <v>1</v>
      </c>
      <c r="G57" s="225">
        <v>500</v>
      </c>
      <c r="H57" s="226">
        <f>F57*G57</f>
        <v>500</v>
      </c>
      <c r="J57" s="138">
        <v>1</v>
      </c>
      <c r="K57" s="161">
        <f>G57*($L$8+$L$9)</f>
        <v>675</v>
      </c>
      <c r="L57" s="176">
        <f>J57*K57</f>
        <v>675</v>
      </c>
      <c r="N57" s="138">
        <v>1</v>
      </c>
      <c r="O57" s="161">
        <f>$G57*($L$8+$L$9)</f>
        <v>675</v>
      </c>
      <c r="P57" s="176">
        <f>N57*O57</f>
        <v>675</v>
      </c>
    </row>
    <row r="58" spans="1:16" ht="11.25" customHeight="1">
      <c r="A58" s="7"/>
      <c r="B58" s="7"/>
      <c r="C58" s="7"/>
      <c r="D58" s="7"/>
      <c r="E58" s="7"/>
      <c r="F58" s="203"/>
      <c r="G58" s="186"/>
      <c r="H58" s="204"/>
      <c r="J58" s="25"/>
      <c r="K58" s="148"/>
      <c r="L58" s="171"/>
      <c r="N58" s="25"/>
      <c r="O58" s="148"/>
      <c r="P58" s="171"/>
    </row>
    <row r="59" spans="1:16" ht="11.25" customHeight="1">
      <c r="A59" s="26">
        <v>900</v>
      </c>
      <c r="B59" s="27" t="s">
        <v>176</v>
      </c>
      <c r="C59" s="26"/>
      <c r="D59" s="26"/>
      <c r="E59" s="26"/>
      <c r="F59" s="205"/>
      <c r="G59" s="206"/>
      <c r="H59" s="207">
        <f>SUM(H61:H62)</f>
        <v>6280</v>
      </c>
      <c r="J59" s="28"/>
      <c r="K59" s="154"/>
      <c r="L59" s="170">
        <f>SUM(L61:L62)</f>
        <v>9306</v>
      </c>
      <c r="N59" s="28"/>
      <c r="O59" s="154"/>
      <c r="P59" s="170">
        <f>SUM(P61:P62)</f>
        <v>6920</v>
      </c>
    </row>
    <row r="60" spans="1:16" ht="11.25" customHeight="1">
      <c r="A60" s="7"/>
      <c r="B60" s="7"/>
      <c r="C60" s="7"/>
      <c r="D60" s="7"/>
      <c r="E60" s="7"/>
      <c r="F60" s="203"/>
      <c r="G60" s="186"/>
      <c r="H60" s="204"/>
      <c r="J60" s="25"/>
      <c r="K60" s="148"/>
      <c r="L60" s="171"/>
      <c r="N60" s="25"/>
      <c r="O60" s="148"/>
      <c r="P60" s="171"/>
    </row>
    <row r="61" spans="1:16" ht="11.25" customHeight="1">
      <c r="A61" s="7">
        <v>910</v>
      </c>
      <c r="B61" s="91"/>
      <c r="C61" s="6" t="s">
        <v>72</v>
      </c>
      <c r="D61" s="32"/>
      <c r="E61" s="32"/>
      <c r="F61" s="203">
        <v>88</v>
      </c>
      <c r="G61" s="186">
        <v>25</v>
      </c>
      <c r="H61" s="204">
        <f>G61*F61</f>
        <v>2200</v>
      </c>
      <c r="J61" s="25">
        <v>88</v>
      </c>
      <c r="K61" s="161">
        <v>42</v>
      </c>
      <c r="L61" s="171">
        <f>K61*J61</f>
        <v>3696</v>
      </c>
      <c r="N61" s="25">
        <v>60</v>
      </c>
      <c r="O61" s="161">
        <v>42</v>
      </c>
      <c r="P61" s="171">
        <f>O61*N61</f>
        <v>2520</v>
      </c>
    </row>
    <row r="62" spans="1:16" ht="11.25" customHeight="1">
      <c r="A62" s="7">
        <v>920</v>
      </c>
      <c r="B62" s="71"/>
      <c r="C62" s="6" t="s">
        <v>166</v>
      </c>
      <c r="D62" s="32"/>
      <c r="E62" s="32"/>
      <c r="F62" s="203">
        <v>51</v>
      </c>
      <c r="G62" s="186">
        <v>80</v>
      </c>
      <c r="H62" s="204">
        <f>G62*F62</f>
        <v>4080</v>
      </c>
      <c r="J62" s="25">
        <v>51</v>
      </c>
      <c r="K62" s="161">
        <v>110</v>
      </c>
      <c r="L62" s="171">
        <f>K62*J62</f>
        <v>5610</v>
      </c>
      <c r="N62" s="25">
        <v>40</v>
      </c>
      <c r="O62" s="161">
        <v>110</v>
      </c>
      <c r="P62" s="171">
        <f>O62*N62</f>
        <v>4400</v>
      </c>
    </row>
    <row r="63" spans="1:16" ht="11.25" customHeight="1">
      <c r="A63" s="7"/>
      <c r="B63" s="7"/>
      <c r="C63" s="7"/>
      <c r="D63" s="7"/>
      <c r="E63" s="7"/>
      <c r="F63" s="203"/>
      <c r="G63" s="186"/>
      <c r="H63" s="204"/>
      <c r="J63" s="25"/>
      <c r="K63" s="148"/>
      <c r="L63" s="171"/>
      <c r="N63" s="25"/>
      <c r="O63" s="148"/>
      <c r="P63" s="171"/>
    </row>
    <row r="64" spans="1:16" ht="11.25" customHeight="1">
      <c r="A64" s="26">
        <v>1000</v>
      </c>
      <c r="B64" s="27" t="s">
        <v>41</v>
      </c>
      <c r="C64" s="26"/>
      <c r="D64" s="26"/>
      <c r="E64" s="26"/>
      <c r="F64" s="205"/>
      <c r="G64" s="206"/>
      <c r="H64" s="207">
        <f>SUM(H66:H68)</f>
        <v>61940</v>
      </c>
      <c r="J64" s="28"/>
      <c r="K64" s="154"/>
      <c r="L64" s="170">
        <f>SUM(L66:L68)</f>
        <v>35594</v>
      </c>
      <c r="N64" s="28"/>
      <c r="O64" s="154"/>
      <c r="P64" s="170">
        <f>SUM(P66:P68)</f>
        <v>35000</v>
      </c>
    </row>
    <row r="65" spans="1:16" ht="11.25" customHeight="1">
      <c r="A65" s="7"/>
      <c r="B65" s="7"/>
      <c r="C65" s="7"/>
      <c r="D65" s="7"/>
      <c r="E65" s="7"/>
      <c r="F65" s="203"/>
      <c r="G65" s="186"/>
      <c r="H65" s="204"/>
      <c r="J65" s="25"/>
      <c r="K65" s="148"/>
      <c r="L65" s="171"/>
      <c r="N65" s="25"/>
      <c r="O65" s="148"/>
      <c r="P65" s="171"/>
    </row>
    <row r="66" spans="1:16" ht="11.25" customHeight="1">
      <c r="A66" s="7">
        <v>1031</v>
      </c>
      <c r="B66" s="75"/>
      <c r="C66" s="6" t="s">
        <v>228</v>
      </c>
      <c r="D66" s="32"/>
      <c r="E66" s="32"/>
      <c r="F66" s="203">
        <v>27</v>
      </c>
      <c r="G66" s="186">
        <v>10</v>
      </c>
      <c r="H66" s="204">
        <f>F66*G66</f>
        <v>270</v>
      </c>
      <c r="J66" s="25">
        <v>27</v>
      </c>
      <c r="K66" s="161">
        <f>G66*($L$8+$L$9)</f>
        <v>13.5</v>
      </c>
      <c r="L66" s="171">
        <f>J66*K66</f>
        <v>364.5</v>
      </c>
      <c r="N66" s="25">
        <v>0</v>
      </c>
      <c r="O66" s="161">
        <f>$G66*($L$8+$L$9)</f>
        <v>13.5</v>
      </c>
      <c r="P66" s="171">
        <f>N66*O66</f>
        <v>0</v>
      </c>
    </row>
    <row r="67" spans="1:16" ht="11.25" customHeight="1">
      <c r="A67" s="7">
        <v>1050</v>
      </c>
      <c r="B67" s="86"/>
      <c r="C67" s="6" t="s">
        <v>229</v>
      </c>
      <c r="D67" s="32"/>
      <c r="E67" s="32"/>
      <c r="F67" s="203">
        <v>17</v>
      </c>
      <c r="G67" s="186">
        <v>10</v>
      </c>
      <c r="H67" s="204">
        <f>F67*G67</f>
        <v>170</v>
      </c>
      <c r="J67" s="25">
        <v>17</v>
      </c>
      <c r="K67" s="161">
        <f>G67*($L$8+$L$9)</f>
        <v>13.5</v>
      </c>
      <c r="L67" s="171">
        <f>J67*K67</f>
        <v>229.5</v>
      </c>
      <c r="N67" s="25">
        <v>0</v>
      </c>
      <c r="O67" s="161">
        <f>$G67*($L$8+$L$9)</f>
        <v>13.5</v>
      </c>
      <c r="P67" s="171">
        <f>N67*O67</f>
        <v>0</v>
      </c>
    </row>
    <row r="68" spans="1:17" ht="11.25" customHeight="1">
      <c r="A68" s="7">
        <v>1099</v>
      </c>
      <c r="B68" s="94"/>
      <c r="C68" s="6" t="s">
        <v>235</v>
      </c>
      <c r="D68" s="95"/>
      <c r="E68" s="32" t="s">
        <v>236</v>
      </c>
      <c r="F68" s="203"/>
      <c r="G68" s="186"/>
      <c r="H68" s="204">
        <v>61500</v>
      </c>
      <c r="J68" s="25"/>
      <c r="K68" s="148"/>
      <c r="L68" s="171">
        <v>35000</v>
      </c>
      <c r="N68" s="25"/>
      <c r="O68" s="148"/>
      <c r="P68" s="171">
        <v>35000</v>
      </c>
      <c r="Q68" t="s">
        <v>317</v>
      </c>
    </row>
    <row r="69" spans="1:16" ht="11.25" customHeight="1">
      <c r="A69" s="7"/>
      <c r="B69" s="7"/>
      <c r="C69" s="7"/>
      <c r="D69" s="7"/>
      <c r="E69" s="7"/>
      <c r="F69" s="203"/>
      <c r="G69" s="186"/>
      <c r="H69" s="204"/>
      <c r="J69" s="25"/>
      <c r="K69" s="148"/>
      <c r="L69" s="171"/>
      <c r="N69" s="25"/>
      <c r="O69" s="148"/>
      <c r="P69" s="171"/>
    </row>
    <row r="70" spans="1:16" ht="11.25" customHeight="1">
      <c r="A70" s="7"/>
      <c r="B70" s="7"/>
      <c r="C70" s="7"/>
      <c r="D70" s="7"/>
      <c r="E70" s="7"/>
      <c r="F70" s="203"/>
      <c r="G70" s="186"/>
      <c r="H70" s="204"/>
      <c r="J70" s="25"/>
      <c r="K70" s="148"/>
      <c r="L70" s="171"/>
      <c r="N70" s="25"/>
      <c r="O70" s="148"/>
      <c r="P70" s="171"/>
    </row>
    <row r="71" spans="1:16" ht="11.25" customHeight="1">
      <c r="A71" s="26">
        <v>1200</v>
      </c>
      <c r="B71" s="27" t="s">
        <v>264</v>
      </c>
      <c r="C71" s="26"/>
      <c r="D71" s="26"/>
      <c r="E71" s="26"/>
      <c r="F71" s="205"/>
      <c r="G71" s="206"/>
      <c r="H71" s="207">
        <f>35000</f>
        <v>35000</v>
      </c>
      <c r="J71" s="28"/>
      <c r="K71" s="154"/>
      <c r="L71" s="170">
        <v>40000</v>
      </c>
      <c r="N71" s="28"/>
      <c r="O71" s="154"/>
      <c r="P71" s="170">
        <v>40000</v>
      </c>
    </row>
    <row r="72" spans="1:16" ht="11.25" customHeight="1">
      <c r="A72" s="7"/>
      <c r="B72" s="7" t="s">
        <v>322</v>
      </c>
      <c r="C72" s="7"/>
      <c r="D72" s="7"/>
      <c r="E72" s="7"/>
      <c r="F72" s="203"/>
      <c r="G72" s="186"/>
      <c r="H72" s="204"/>
      <c r="J72" s="25"/>
      <c r="K72" s="148"/>
      <c r="L72" s="171"/>
      <c r="N72" s="25"/>
      <c r="O72" s="148"/>
      <c r="P72" s="171"/>
    </row>
    <row r="73" spans="1:16" ht="11.25" customHeight="1">
      <c r="A73" s="26">
        <v>2000</v>
      </c>
      <c r="B73" s="27" t="s">
        <v>237</v>
      </c>
      <c r="C73" s="26"/>
      <c r="D73" s="26"/>
      <c r="E73" s="26"/>
      <c r="F73" s="205"/>
      <c r="G73" s="206"/>
      <c r="H73" s="207">
        <f>SUM(H75,H85,H92,H114,H133)</f>
        <v>321916.51</v>
      </c>
      <c r="J73" s="28"/>
      <c r="K73" s="154"/>
      <c r="L73" s="170">
        <f>SUM(L75,L85,L92,L112,L114,L133)</f>
        <v>445443.573</v>
      </c>
      <c r="N73" s="28"/>
      <c r="O73" s="154"/>
      <c r="P73" s="170">
        <f>SUM(P75,P85,P92,P112,P114,P133)</f>
        <v>400699.073</v>
      </c>
    </row>
    <row r="74" spans="1:16" ht="11.25" customHeight="1">
      <c r="A74" s="7"/>
      <c r="B74" s="7"/>
      <c r="C74" s="7"/>
      <c r="D74" s="7"/>
      <c r="E74" s="7"/>
      <c r="F74" s="203"/>
      <c r="G74" s="186"/>
      <c r="H74" s="204"/>
      <c r="J74" s="25"/>
      <c r="K74" s="148"/>
      <c r="L74" s="171"/>
      <c r="N74" s="25"/>
      <c r="O74" s="148"/>
      <c r="P74" s="171"/>
    </row>
    <row r="75" spans="1:16" ht="11.25" customHeight="1">
      <c r="A75" s="26">
        <v>1400</v>
      </c>
      <c r="B75" s="27" t="s">
        <v>238</v>
      </c>
      <c r="C75" s="26"/>
      <c r="D75" s="26"/>
      <c r="E75" s="26"/>
      <c r="F75" s="205"/>
      <c r="G75" s="206"/>
      <c r="H75" s="207">
        <f>SUM(H78:H83)</f>
        <v>8205</v>
      </c>
      <c r="J75" s="28"/>
      <c r="K75" s="154"/>
      <c r="L75" s="170">
        <f>SUM(L78:L83)</f>
        <v>11076.75</v>
      </c>
      <c r="N75" s="28"/>
      <c r="O75" s="154"/>
      <c r="P75" s="170">
        <f>SUM(P78:P83)</f>
        <v>11076.75</v>
      </c>
    </row>
    <row r="76" spans="1:16" ht="11.25" customHeight="1">
      <c r="A76" s="7"/>
      <c r="B76" s="7"/>
      <c r="C76" s="7"/>
      <c r="D76" s="7"/>
      <c r="E76" s="7"/>
      <c r="F76" s="203"/>
      <c r="G76" s="186"/>
      <c r="H76" s="204"/>
      <c r="J76" s="25"/>
      <c r="K76" s="148"/>
      <c r="L76" s="171"/>
      <c r="N76" s="25"/>
      <c r="O76" s="148"/>
      <c r="P76" s="171"/>
    </row>
    <row r="77" spans="1:16" ht="11.25" customHeight="1">
      <c r="A77" s="7"/>
      <c r="B77" s="7"/>
      <c r="C77" s="7" t="s">
        <v>260</v>
      </c>
      <c r="D77" s="7"/>
      <c r="E77" s="7"/>
      <c r="F77" s="203"/>
      <c r="G77" s="186"/>
      <c r="H77" s="204">
        <v>1188.13</v>
      </c>
      <c r="J77" s="25"/>
      <c r="K77" s="148"/>
      <c r="L77" s="171">
        <f>H77*($L$8+$L$9)</f>
        <v>1603.9755000000002</v>
      </c>
      <c r="N77" s="25"/>
      <c r="O77" s="148"/>
      <c r="P77" s="171">
        <f>L77</f>
        <v>1603.9755000000002</v>
      </c>
    </row>
    <row r="78" spans="1:16" ht="11.25" customHeight="1">
      <c r="A78" s="7">
        <v>1410</v>
      </c>
      <c r="B78" s="93"/>
      <c r="C78" s="6" t="s">
        <v>135</v>
      </c>
      <c r="D78" s="7"/>
      <c r="E78" s="7"/>
      <c r="F78" s="203"/>
      <c r="G78" s="186"/>
      <c r="H78" s="204">
        <v>1000</v>
      </c>
      <c r="J78" s="25"/>
      <c r="K78" s="148"/>
      <c r="L78" s="171">
        <f aca="true" t="shared" si="6" ref="L78:L83">H78*($L$8+$L$9)</f>
        <v>1350</v>
      </c>
      <c r="N78" s="25"/>
      <c r="O78" s="148"/>
      <c r="P78" s="171">
        <f aca="true" t="shared" si="7" ref="P78:P83">L78</f>
        <v>1350</v>
      </c>
    </row>
    <row r="79" spans="1:16" ht="11.25" customHeight="1">
      <c r="A79" s="7">
        <v>1420</v>
      </c>
      <c r="B79" s="97"/>
      <c r="C79" s="6" t="s">
        <v>71</v>
      </c>
      <c r="D79" s="7"/>
      <c r="E79" s="7"/>
      <c r="F79" s="203"/>
      <c r="G79" s="186"/>
      <c r="H79" s="204">
        <v>2500</v>
      </c>
      <c r="J79" s="25"/>
      <c r="K79" s="148"/>
      <c r="L79" s="171">
        <f t="shared" si="6"/>
        <v>3375</v>
      </c>
      <c r="N79" s="25"/>
      <c r="O79" s="148"/>
      <c r="P79" s="171">
        <f t="shared" si="7"/>
        <v>3375</v>
      </c>
    </row>
    <row r="80" spans="1:16" ht="11.25" customHeight="1">
      <c r="A80" s="7">
        <v>1430</v>
      </c>
      <c r="B80" s="98"/>
      <c r="C80" s="6" t="s">
        <v>239</v>
      </c>
      <c r="D80" s="7"/>
      <c r="E80" s="7"/>
      <c r="F80" s="203">
        <v>1000</v>
      </c>
      <c r="G80" s="186"/>
      <c r="H80" s="204">
        <v>3305</v>
      </c>
      <c r="J80" s="25">
        <v>1000</v>
      </c>
      <c r="K80" s="148"/>
      <c r="L80" s="171">
        <f t="shared" si="6"/>
        <v>4461.75</v>
      </c>
      <c r="N80" s="25">
        <v>1000</v>
      </c>
      <c r="O80" s="148"/>
      <c r="P80" s="171">
        <f t="shared" si="7"/>
        <v>4461.75</v>
      </c>
    </row>
    <row r="81" spans="1:16" ht="11.25" customHeight="1">
      <c r="A81" s="7">
        <v>1440</v>
      </c>
      <c r="B81" s="99"/>
      <c r="C81" s="6" t="s">
        <v>240</v>
      </c>
      <c r="D81" s="7"/>
      <c r="E81" s="7"/>
      <c r="F81" s="203"/>
      <c r="G81" s="186"/>
      <c r="H81" s="204">
        <v>0</v>
      </c>
      <c r="J81" s="25"/>
      <c r="K81" s="148"/>
      <c r="L81" s="171">
        <f t="shared" si="6"/>
        <v>0</v>
      </c>
      <c r="N81" s="25"/>
      <c r="O81" s="148"/>
      <c r="P81" s="171">
        <f t="shared" si="7"/>
        <v>0</v>
      </c>
    </row>
    <row r="82" spans="1:16" ht="11.25" customHeight="1">
      <c r="A82" s="7">
        <v>1450</v>
      </c>
      <c r="B82" s="88"/>
      <c r="C82" s="6" t="s">
        <v>241</v>
      </c>
      <c r="D82" s="7"/>
      <c r="E82" s="7"/>
      <c r="F82" s="203"/>
      <c r="G82" s="186"/>
      <c r="H82" s="204">
        <v>1400</v>
      </c>
      <c r="J82" s="25"/>
      <c r="K82" s="148"/>
      <c r="L82" s="171">
        <f t="shared" si="6"/>
        <v>1890.0000000000002</v>
      </c>
      <c r="N82" s="25"/>
      <c r="O82" s="148"/>
      <c r="P82" s="171">
        <f t="shared" si="7"/>
        <v>1890.0000000000002</v>
      </c>
    </row>
    <row r="83" spans="1:16" ht="11.25" customHeight="1">
      <c r="A83" s="7">
        <v>1490</v>
      </c>
      <c r="B83" s="100"/>
      <c r="C83" s="6" t="s">
        <v>242</v>
      </c>
      <c r="D83" s="7"/>
      <c r="E83" s="7"/>
      <c r="F83" s="203"/>
      <c r="G83" s="186"/>
      <c r="H83" s="204">
        <v>0</v>
      </c>
      <c r="J83" s="25"/>
      <c r="K83" s="148"/>
      <c r="L83" s="171">
        <f t="shared" si="6"/>
        <v>0</v>
      </c>
      <c r="N83" s="25"/>
      <c r="O83" s="148"/>
      <c r="P83" s="171">
        <f t="shared" si="7"/>
        <v>0</v>
      </c>
    </row>
    <row r="84" spans="1:16" ht="11.25" customHeight="1">
      <c r="A84" s="7"/>
      <c r="B84" s="7"/>
      <c r="C84" s="7"/>
      <c r="D84" s="7"/>
      <c r="E84" s="7"/>
      <c r="F84" s="203"/>
      <c r="G84" s="186"/>
      <c r="H84" s="204"/>
      <c r="J84" s="25"/>
      <c r="K84" s="148"/>
      <c r="L84" s="171"/>
      <c r="N84" s="25"/>
      <c r="O84" s="148"/>
      <c r="P84" s="171"/>
    </row>
    <row r="85" spans="1:16" ht="11.25" customHeight="1">
      <c r="A85" s="26">
        <v>1500</v>
      </c>
      <c r="B85" s="27" t="s">
        <v>43</v>
      </c>
      <c r="C85" s="26"/>
      <c r="D85" s="26"/>
      <c r="E85" s="26"/>
      <c r="F85" s="205"/>
      <c r="G85" s="206"/>
      <c r="H85" s="207">
        <f>SUM(H87:H90)</f>
        <v>12118</v>
      </c>
      <c r="J85" s="28"/>
      <c r="K85" s="154"/>
      <c r="L85" s="170">
        <f>SUM(L87:L90)</f>
        <v>22596.05</v>
      </c>
      <c r="N85" s="28"/>
      <c r="O85" s="154"/>
      <c r="P85" s="170">
        <f>SUM(P87:P90)</f>
        <v>22596.05</v>
      </c>
    </row>
    <row r="86" spans="1:16" ht="11.25" customHeight="1">
      <c r="A86" s="7"/>
      <c r="B86" s="7"/>
      <c r="C86" s="7"/>
      <c r="D86" s="7"/>
      <c r="E86" s="7"/>
      <c r="F86" s="203"/>
      <c r="G86" s="186"/>
      <c r="H86" s="204"/>
      <c r="J86" s="25"/>
      <c r="K86" s="148"/>
      <c r="L86" s="171"/>
      <c r="N86" s="25"/>
      <c r="O86" s="148"/>
      <c r="P86" s="171"/>
    </row>
    <row r="87" spans="1:17" ht="11.25" customHeight="1">
      <c r="A87" s="7">
        <v>1510</v>
      </c>
      <c r="B87" s="101"/>
      <c r="C87" s="6" t="s">
        <v>44</v>
      </c>
      <c r="D87" s="7"/>
      <c r="E87" s="7"/>
      <c r="F87" s="203">
        <v>1000</v>
      </c>
      <c r="G87" s="186" t="s">
        <v>159</v>
      </c>
      <c r="H87" s="204">
        <v>10195</v>
      </c>
      <c r="J87" s="25">
        <v>1000</v>
      </c>
      <c r="K87" s="148" t="s">
        <v>159</v>
      </c>
      <c r="L87" s="171">
        <v>20000</v>
      </c>
      <c r="N87" s="25">
        <v>1000</v>
      </c>
      <c r="O87" s="148" t="s">
        <v>159</v>
      </c>
      <c r="P87" s="171">
        <v>20000</v>
      </c>
      <c r="Q87" t="s">
        <v>318</v>
      </c>
    </row>
    <row r="88" spans="1:16" ht="11.25" customHeight="1">
      <c r="A88" s="7">
        <v>1530</v>
      </c>
      <c r="B88" s="96"/>
      <c r="C88" s="6" t="s">
        <v>256</v>
      </c>
      <c r="D88" s="7"/>
      <c r="E88" s="7"/>
      <c r="F88" s="203"/>
      <c r="G88" s="186"/>
      <c r="H88" s="204">
        <v>0</v>
      </c>
      <c r="J88" s="25"/>
      <c r="K88" s="148"/>
      <c r="L88" s="171">
        <v>0</v>
      </c>
      <c r="N88" s="25"/>
      <c r="O88" s="148"/>
      <c r="P88" s="171">
        <f>L88</f>
        <v>0</v>
      </c>
    </row>
    <row r="89" spans="1:16" ht="11.25" customHeight="1">
      <c r="A89" s="7"/>
      <c r="B89" s="145"/>
      <c r="C89" s="6" t="s">
        <v>107</v>
      </c>
      <c r="D89" s="7"/>
      <c r="E89" s="7"/>
      <c r="F89" s="203"/>
      <c r="G89" s="186"/>
      <c r="H89" s="204">
        <v>1500</v>
      </c>
      <c r="J89" s="25"/>
      <c r="K89" s="148"/>
      <c r="L89" s="171">
        <f>H89*($L$8+$L$9)</f>
        <v>2025.0000000000002</v>
      </c>
      <c r="N89" s="25"/>
      <c r="O89" s="148"/>
      <c r="P89" s="171">
        <f>L89</f>
        <v>2025.0000000000002</v>
      </c>
    </row>
    <row r="90" spans="1:16" ht="11.25" customHeight="1">
      <c r="A90" s="7"/>
      <c r="B90" s="145"/>
      <c r="C90" s="6" t="s">
        <v>108</v>
      </c>
      <c r="D90" s="7"/>
      <c r="E90" s="7"/>
      <c r="F90" s="203"/>
      <c r="G90" s="186"/>
      <c r="H90" s="204">
        <v>423</v>
      </c>
      <c r="J90" s="25"/>
      <c r="K90" s="148"/>
      <c r="L90" s="171">
        <f>H90*($L$8+$L$9)</f>
        <v>571.0500000000001</v>
      </c>
      <c r="N90" s="25"/>
      <c r="O90" s="148"/>
      <c r="P90" s="171">
        <f>L90</f>
        <v>571.0500000000001</v>
      </c>
    </row>
    <row r="91" spans="1:16" ht="11.25" customHeight="1">
      <c r="A91" s="7"/>
      <c r="B91" s="7"/>
      <c r="C91" s="7"/>
      <c r="D91" s="7"/>
      <c r="E91" s="7"/>
      <c r="F91" s="203"/>
      <c r="G91" s="186"/>
      <c r="H91" s="204"/>
      <c r="J91" s="25"/>
      <c r="K91" s="148"/>
      <c r="L91" s="171"/>
      <c r="N91" s="25"/>
      <c r="O91" s="148"/>
      <c r="P91" s="171"/>
    </row>
    <row r="92" spans="1:16" ht="11.25" customHeight="1">
      <c r="A92" s="26">
        <v>1700</v>
      </c>
      <c r="B92" s="27" t="s">
        <v>176</v>
      </c>
      <c r="C92" s="7"/>
      <c r="D92" s="7"/>
      <c r="E92" s="7"/>
      <c r="F92" s="205"/>
      <c r="G92" s="186"/>
      <c r="H92" s="207">
        <f>SUM(H94,H97,H98,H101,H104,H110)</f>
        <v>190785.89</v>
      </c>
      <c r="J92" s="28"/>
      <c r="K92" s="148"/>
      <c r="L92" s="170">
        <f>SUM(L94,L97,L98,L101,L104,L110)</f>
        <v>244902.5</v>
      </c>
      <c r="N92" s="28"/>
      <c r="O92" s="148"/>
      <c r="P92" s="170">
        <f>SUM(P94,P97,P98,P101,P104,P110)</f>
        <v>202652.5</v>
      </c>
    </row>
    <row r="93" spans="1:16" ht="11.25" customHeight="1">
      <c r="A93" s="7"/>
      <c r="B93" s="7"/>
      <c r="C93" s="7"/>
      <c r="D93" s="7"/>
      <c r="E93" s="7"/>
      <c r="F93" s="203"/>
      <c r="G93" s="186"/>
      <c r="H93" s="204"/>
      <c r="J93" s="25"/>
      <c r="K93" s="148"/>
      <c r="L93" s="171"/>
      <c r="N93" s="25"/>
      <c r="O93" s="148"/>
      <c r="P93" s="171"/>
    </row>
    <row r="94" spans="1:16" ht="11.25" customHeight="1">
      <c r="A94" s="29">
        <v>1710</v>
      </c>
      <c r="B94" s="87"/>
      <c r="C94" s="30" t="s">
        <v>46</v>
      </c>
      <c r="D94" s="32"/>
      <c r="E94" s="32"/>
      <c r="F94" s="227"/>
      <c r="G94" s="228"/>
      <c r="H94" s="229">
        <f>SUM(H95:H96)</f>
        <v>20217.5</v>
      </c>
      <c r="J94" s="31"/>
      <c r="K94" s="160"/>
      <c r="L94" s="177">
        <f>SUM(L95:L96)</f>
        <v>19467.5</v>
      </c>
      <c r="N94" s="31"/>
      <c r="O94" s="160"/>
      <c r="P94" s="177">
        <f>SUM(P95:P96)</f>
        <v>15967.5</v>
      </c>
    </row>
    <row r="95" spans="1:16" ht="11.25" customHeight="1">
      <c r="A95" s="7">
        <v>1711</v>
      </c>
      <c r="B95" s="7"/>
      <c r="C95" s="7"/>
      <c r="D95" s="6" t="s">
        <v>47</v>
      </c>
      <c r="E95" s="78"/>
      <c r="F95" s="203">
        <v>500</v>
      </c>
      <c r="G95" s="186">
        <v>40</v>
      </c>
      <c r="H95" s="204">
        <f>G95*F95</f>
        <v>20000</v>
      </c>
      <c r="J95" s="25">
        <v>550</v>
      </c>
      <c r="K95" s="148">
        <v>35</v>
      </c>
      <c r="L95" s="171">
        <f>K95*J95</f>
        <v>19250</v>
      </c>
      <c r="N95" s="25">
        <v>450</v>
      </c>
      <c r="O95" s="148">
        <v>35</v>
      </c>
      <c r="P95" s="171">
        <f>O95*N95</f>
        <v>15750</v>
      </c>
    </row>
    <row r="96" spans="1:16" ht="11.25" customHeight="1">
      <c r="A96" s="7">
        <v>1719</v>
      </c>
      <c r="B96" s="7"/>
      <c r="C96" s="7"/>
      <c r="D96" s="6" t="s">
        <v>222</v>
      </c>
      <c r="E96" s="6"/>
      <c r="F96" s="203"/>
      <c r="G96" s="186"/>
      <c r="H96" s="204">
        <v>217.5</v>
      </c>
      <c r="J96" s="25"/>
      <c r="K96" s="148"/>
      <c r="L96" s="171">
        <v>217.5</v>
      </c>
      <c r="N96" s="25"/>
      <c r="O96" s="148"/>
      <c r="P96" s="171">
        <v>217.5</v>
      </c>
    </row>
    <row r="97" spans="1:16" ht="11.25" customHeight="1">
      <c r="A97" s="7">
        <v>1720</v>
      </c>
      <c r="B97" s="104"/>
      <c r="C97" s="30" t="s">
        <v>58</v>
      </c>
      <c r="D97" s="32"/>
      <c r="E97" s="32"/>
      <c r="F97" s="203">
        <v>600</v>
      </c>
      <c r="G97" s="186">
        <v>35</v>
      </c>
      <c r="H97" s="229">
        <f>G97*F97</f>
        <v>21000</v>
      </c>
      <c r="J97" s="25">
        <v>750</v>
      </c>
      <c r="K97" s="148">
        <v>42</v>
      </c>
      <c r="L97" s="177">
        <f>K97*J97</f>
        <v>31500</v>
      </c>
      <c r="N97" s="25">
        <v>550</v>
      </c>
      <c r="O97" s="148">
        <v>42</v>
      </c>
      <c r="P97" s="177">
        <f>O97*N97</f>
        <v>23100</v>
      </c>
    </row>
    <row r="98" spans="1:17" ht="11.25" customHeight="1">
      <c r="A98" s="29">
        <v>1750</v>
      </c>
      <c r="B98" s="98"/>
      <c r="C98" s="30" t="s">
        <v>106</v>
      </c>
      <c r="D98" s="32"/>
      <c r="E98" s="32"/>
      <c r="F98" s="227" t="s">
        <v>159</v>
      </c>
      <c r="G98" s="228" t="s">
        <v>159</v>
      </c>
      <c r="H98" s="229">
        <f>SUM(H99:H100)</f>
        <v>65775.5</v>
      </c>
      <c r="J98" s="31" t="s">
        <v>159</v>
      </c>
      <c r="K98" s="160" t="s">
        <v>159</v>
      </c>
      <c r="L98" s="177">
        <f>SUM(L99:L100)</f>
        <v>83250</v>
      </c>
      <c r="N98" s="31" t="s">
        <v>159</v>
      </c>
      <c r="O98" s="160" t="s">
        <v>159</v>
      </c>
      <c r="P98" s="177">
        <f>SUM(P99:P100)</f>
        <v>70500</v>
      </c>
      <c r="Q98" t="s">
        <v>313</v>
      </c>
    </row>
    <row r="99" spans="1:16" ht="11.25" customHeight="1">
      <c r="A99" s="7">
        <v>1751</v>
      </c>
      <c r="B99" s="7"/>
      <c r="C99" s="7"/>
      <c r="D99" s="6" t="s">
        <v>48</v>
      </c>
      <c r="E99" s="93"/>
      <c r="F99" s="203">
        <f>600*5+500*2+400*2</f>
        <v>4800</v>
      </c>
      <c r="G99" s="186">
        <f>((600*3+500+400)*15.25+(600*2+500+400)*9)/(600*5+500*2+400*2)</f>
        <v>12.515625</v>
      </c>
      <c r="H99" s="204">
        <f>G99*F99</f>
        <v>60075</v>
      </c>
      <c r="J99" s="25">
        <f>700*5*3</f>
        <v>10500</v>
      </c>
      <c r="K99" s="148">
        <v>7.5</v>
      </c>
      <c r="L99" s="171">
        <f>K99*J99</f>
        <v>78750</v>
      </c>
      <c r="N99" s="25">
        <f>600*5*3</f>
        <v>9000</v>
      </c>
      <c r="O99" s="148">
        <v>7.5</v>
      </c>
      <c r="P99" s="171">
        <f>O99*N99</f>
        <v>67500</v>
      </c>
    </row>
    <row r="100" spans="1:16" ht="11.25" customHeight="1">
      <c r="A100" s="7">
        <v>1752</v>
      </c>
      <c r="B100" s="7"/>
      <c r="C100" s="7"/>
      <c r="D100" s="6" t="s">
        <v>42</v>
      </c>
      <c r="E100" s="76"/>
      <c r="F100" s="203"/>
      <c r="G100" s="186"/>
      <c r="H100" s="230">
        <f>175*11*1.3+205*12*1.3</f>
        <v>5700.5</v>
      </c>
      <c r="J100" s="25">
        <f>300*2</f>
        <v>600</v>
      </c>
      <c r="K100" s="148">
        <v>7.5</v>
      </c>
      <c r="L100" s="171">
        <f>K100*J100</f>
        <v>4500</v>
      </c>
      <c r="N100" s="25">
        <f>200*2</f>
        <v>400</v>
      </c>
      <c r="O100" s="148">
        <v>7.5</v>
      </c>
      <c r="P100" s="171">
        <f>O100*N100</f>
        <v>3000</v>
      </c>
    </row>
    <row r="101" spans="1:16" ht="11.25" customHeight="1">
      <c r="A101" s="7">
        <v>1760</v>
      </c>
      <c r="B101" s="99"/>
      <c r="C101" s="30" t="s">
        <v>214</v>
      </c>
      <c r="D101" s="32"/>
      <c r="E101" s="32"/>
      <c r="F101" s="203">
        <f>50+20*4</f>
        <v>130</v>
      </c>
      <c r="G101" s="186">
        <v>4.25</v>
      </c>
      <c r="H101" s="229">
        <f>F101*G101</f>
        <v>552.5</v>
      </c>
      <c r="J101" s="25">
        <v>100</v>
      </c>
      <c r="K101" s="148">
        <v>7.5</v>
      </c>
      <c r="L101" s="177">
        <f>J101*K101</f>
        <v>750</v>
      </c>
      <c r="N101" s="25">
        <v>100</v>
      </c>
      <c r="O101" s="148">
        <v>7.5</v>
      </c>
      <c r="P101" s="177">
        <f>N101*O101</f>
        <v>750</v>
      </c>
    </row>
    <row r="102" spans="1:16" ht="11.25" customHeight="1">
      <c r="A102" s="7"/>
      <c r="B102" s="105"/>
      <c r="C102" s="6" t="s">
        <v>223</v>
      </c>
      <c r="D102" s="32"/>
      <c r="E102" s="32"/>
      <c r="F102" s="203"/>
      <c r="G102" s="186"/>
      <c r="H102" s="229">
        <f>H94+H97+H98+H101</f>
        <v>107545.5</v>
      </c>
      <c r="J102" s="25"/>
      <c r="K102" s="148"/>
      <c r="L102" s="177">
        <f>L94+L97+L98+L101</f>
        <v>134967.5</v>
      </c>
      <c r="N102" s="25"/>
      <c r="O102" s="148"/>
      <c r="P102" s="177">
        <f>P94+P97+P98+P101</f>
        <v>110317.5</v>
      </c>
    </row>
    <row r="103" spans="1:16" ht="11.25" customHeight="1">
      <c r="A103" s="7"/>
      <c r="B103" s="145"/>
      <c r="C103" s="6"/>
      <c r="D103" s="32"/>
      <c r="E103" s="32"/>
      <c r="F103" s="203"/>
      <c r="G103" s="186" t="s">
        <v>159</v>
      </c>
      <c r="H103" s="229"/>
      <c r="J103" s="25"/>
      <c r="K103" s="148" t="s">
        <v>159</v>
      </c>
      <c r="L103" s="177"/>
      <c r="N103" s="25"/>
      <c r="O103" s="148" t="s">
        <v>159</v>
      </c>
      <c r="P103" s="177"/>
    </row>
    <row r="104" spans="1:16" ht="11.25" customHeight="1">
      <c r="A104" s="29">
        <v>1730</v>
      </c>
      <c r="B104" s="93"/>
      <c r="C104" s="30" t="s">
        <v>59</v>
      </c>
      <c r="D104" s="32"/>
      <c r="E104" s="32"/>
      <c r="F104" s="227">
        <v>810</v>
      </c>
      <c r="G104" s="228"/>
      <c r="H104" s="229">
        <f>SUM(H105:H108)</f>
        <v>82101.39</v>
      </c>
      <c r="J104" s="31">
        <v>900</v>
      </c>
      <c r="K104" s="160"/>
      <c r="L104" s="177">
        <f>SUM(L105:L108)</f>
        <v>109935</v>
      </c>
      <c r="N104" s="31">
        <v>740</v>
      </c>
      <c r="O104" s="160"/>
      <c r="P104" s="177">
        <f>SUM(P105:P108)</f>
        <v>92335</v>
      </c>
    </row>
    <row r="105" spans="1:16" ht="11.25" customHeight="1">
      <c r="A105" s="7">
        <v>1731</v>
      </c>
      <c r="B105" s="7"/>
      <c r="C105" s="7"/>
      <c r="D105" s="6" t="s">
        <v>81</v>
      </c>
      <c r="E105" s="78"/>
      <c r="F105" s="203"/>
      <c r="G105" s="186"/>
      <c r="H105" s="204">
        <f>71000-2988.61</f>
        <v>68011.39</v>
      </c>
      <c r="J105" s="25"/>
      <c r="K105" s="148">
        <v>110</v>
      </c>
      <c r="L105" s="171">
        <f>J104*K105</f>
        <v>99000</v>
      </c>
      <c r="N105" s="25"/>
      <c r="O105" s="148">
        <v>110</v>
      </c>
      <c r="P105" s="171">
        <f>N104*O105</f>
        <v>81400</v>
      </c>
    </row>
    <row r="106" spans="1:16" ht="11.25" customHeight="1">
      <c r="A106" s="7"/>
      <c r="B106" s="7"/>
      <c r="C106" s="7"/>
      <c r="D106" s="6" t="s">
        <v>259</v>
      </c>
      <c r="E106" s="78"/>
      <c r="F106" s="203"/>
      <c r="G106" s="186"/>
      <c r="H106" s="204">
        <v>2092</v>
      </c>
      <c r="J106" s="25"/>
      <c r="K106" s="148"/>
      <c r="L106" s="171">
        <v>0</v>
      </c>
      <c r="N106" s="25"/>
      <c r="O106" s="148"/>
      <c r="P106" s="171">
        <v>0</v>
      </c>
    </row>
    <row r="107" spans="1:16" ht="11.25" customHeight="1">
      <c r="A107" s="7"/>
      <c r="B107" s="7"/>
      <c r="C107" s="7"/>
      <c r="D107" s="6" t="s">
        <v>167</v>
      </c>
      <c r="E107" s="78"/>
      <c r="F107" s="203"/>
      <c r="G107" s="186"/>
      <c r="H107" s="204">
        <v>8100</v>
      </c>
      <c r="J107" s="25"/>
      <c r="K107" s="148"/>
      <c r="L107" s="171">
        <f>H107*($L$8+$L$9)</f>
        <v>10935</v>
      </c>
      <c r="N107" s="25"/>
      <c r="O107" s="148"/>
      <c r="P107" s="171">
        <f>L107</f>
        <v>10935</v>
      </c>
    </row>
    <row r="108" spans="1:16" ht="11.25" customHeight="1">
      <c r="A108" s="7">
        <v>1739</v>
      </c>
      <c r="B108" s="7"/>
      <c r="C108" s="7"/>
      <c r="D108" s="6" t="s">
        <v>168</v>
      </c>
      <c r="E108" s="6"/>
      <c r="F108" s="203"/>
      <c r="G108" s="186"/>
      <c r="H108" s="204">
        <v>3898</v>
      </c>
      <c r="J108" s="25"/>
      <c r="K108" s="148"/>
      <c r="L108" s="171">
        <v>0</v>
      </c>
      <c r="N108" s="25"/>
      <c r="O108" s="148"/>
      <c r="P108" s="171">
        <v>0</v>
      </c>
    </row>
    <row r="109" spans="1:16" ht="11.25" customHeight="1">
      <c r="A109" s="7"/>
      <c r="B109" s="145"/>
      <c r="C109" s="6"/>
      <c r="D109" s="32"/>
      <c r="E109" s="32"/>
      <c r="F109" s="203"/>
      <c r="G109" s="186"/>
      <c r="H109" s="229"/>
      <c r="J109" s="25"/>
      <c r="K109" s="148"/>
      <c r="L109" s="177"/>
      <c r="N109" s="25"/>
      <c r="O109" s="148"/>
      <c r="P109" s="177"/>
    </row>
    <row r="110" spans="1:16" ht="11.25" customHeight="1">
      <c r="A110" s="29">
        <v>1770</v>
      </c>
      <c r="B110" s="88"/>
      <c r="C110" s="30" t="s">
        <v>82</v>
      </c>
      <c r="D110" s="32"/>
      <c r="E110" s="32"/>
      <c r="F110" s="227"/>
      <c r="G110" s="228"/>
      <c r="H110" s="229">
        <v>1139</v>
      </c>
      <c r="J110" s="31"/>
      <c r="K110" s="160"/>
      <c r="L110" s="177">
        <v>0</v>
      </c>
      <c r="N110" s="31"/>
      <c r="O110" s="160"/>
      <c r="P110" s="177">
        <v>0</v>
      </c>
    </row>
    <row r="111" spans="1:16" ht="11.25" customHeight="1">
      <c r="A111" s="29"/>
      <c r="B111" s="145"/>
      <c r="C111" s="30"/>
      <c r="D111" s="32"/>
      <c r="E111" s="32"/>
      <c r="F111" s="227"/>
      <c r="G111" s="228"/>
      <c r="H111" s="229"/>
      <c r="J111" s="31"/>
      <c r="K111" s="160"/>
      <c r="L111" s="177"/>
      <c r="N111" s="31"/>
      <c r="O111" s="160"/>
      <c r="P111" s="177"/>
    </row>
    <row r="112" spans="1:16" ht="11.25" customHeight="1">
      <c r="A112" s="7"/>
      <c r="B112" s="12" t="s">
        <v>323</v>
      </c>
      <c r="D112" s="7"/>
      <c r="E112" s="7"/>
      <c r="F112" s="203"/>
      <c r="G112" s="186"/>
      <c r="H112" s="204"/>
      <c r="J112" s="179"/>
      <c r="K112" s="180"/>
      <c r="L112" s="181">
        <v>6000</v>
      </c>
      <c r="M112" s="182"/>
      <c r="N112" s="183"/>
      <c r="O112" s="180"/>
      <c r="P112" s="181">
        <v>6000</v>
      </c>
    </row>
    <row r="113" spans="1:16" ht="11.25" customHeight="1">
      <c r="A113" s="7"/>
      <c r="B113" s="7"/>
      <c r="C113" s="7"/>
      <c r="D113" s="7"/>
      <c r="E113" s="7"/>
      <c r="F113" s="203"/>
      <c r="G113" s="186"/>
      <c r="H113" s="204"/>
      <c r="J113" s="25"/>
      <c r="K113" s="148"/>
      <c r="L113" s="171"/>
      <c r="N113" s="25"/>
      <c r="O113" s="148"/>
      <c r="P113" s="171"/>
    </row>
    <row r="114" spans="1:16" ht="11.25" customHeight="1">
      <c r="A114" s="26">
        <v>1800</v>
      </c>
      <c r="B114" s="27" t="s">
        <v>49</v>
      </c>
      <c r="C114" s="7"/>
      <c r="D114" s="7"/>
      <c r="E114" s="7"/>
      <c r="F114" s="205"/>
      <c r="G114" s="186"/>
      <c r="H114" s="207">
        <f>SUM(H116:H131)-SUM(H121:H123)</f>
        <v>69697.85</v>
      </c>
      <c r="J114" s="28"/>
      <c r="K114" s="148"/>
      <c r="L114" s="170">
        <f>SUM(L116:L131)-SUM(L121:L123)</f>
        <v>94092.0975</v>
      </c>
      <c r="N114" s="28"/>
      <c r="O114" s="148"/>
      <c r="P114" s="170">
        <f>SUM(P116:P131)-SUM(P121:P123)</f>
        <v>94092.0975</v>
      </c>
    </row>
    <row r="115" spans="1:16" ht="11.25" customHeight="1">
      <c r="A115" s="7"/>
      <c r="B115" s="7"/>
      <c r="C115" s="7"/>
      <c r="D115" s="7"/>
      <c r="E115" s="7"/>
      <c r="F115" s="203"/>
      <c r="G115" s="186"/>
      <c r="H115" s="204"/>
      <c r="J115" s="25"/>
      <c r="K115" s="148"/>
      <c r="L115" s="171"/>
      <c r="N115" s="25"/>
      <c r="O115" s="148"/>
      <c r="P115" s="171"/>
    </row>
    <row r="116" spans="1:16" ht="11.25" customHeight="1">
      <c r="A116" s="7">
        <v>1802</v>
      </c>
      <c r="B116" s="103"/>
      <c r="C116" s="7" t="s">
        <v>50</v>
      </c>
      <c r="D116" s="7"/>
      <c r="E116" s="7"/>
      <c r="F116" s="203"/>
      <c r="G116" s="186"/>
      <c r="H116" s="204">
        <v>2300</v>
      </c>
      <c r="J116" s="25"/>
      <c r="K116" s="148"/>
      <c r="L116" s="171">
        <f aca="true" t="shared" si="8" ref="L116:L131">H116*($L$8+$L$9)</f>
        <v>3105</v>
      </c>
      <c r="N116" s="25"/>
      <c r="O116" s="148"/>
      <c r="P116" s="171">
        <f aca="true" t="shared" si="9" ref="P116:P131">L116</f>
        <v>3105</v>
      </c>
    </row>
    <row r="117" spans="1:16" ht="11.25" customHeight="1">
      <c r="A117" s="7">
        <v>1805</v>
      </c>
      <c r="B117" s="106"/>
      <c r="C117" s="6" t="s">
        <v>51</v>
      </c>
      <c r="D117" s="7"/>
      <c r="E117" s="7"/>
      <c r="F117" s="203"/>
      <c r="G117" s="186"/>
      <c r="H117" s="204">
        <v>200</v>
      </c>
      <c r="J117" s="25"/>
      <c r="K117" s="148"/>
      <c r="L117" s="171">
        <f t="shared" si="8"/>
        <v>270</v>
      </c>
      <c r="N117" s="25"/>
      <c r="O117" s="148"/>
      <c r="P117" s="171">
        <f t="shared" si="9"/>
        <v>270</v>
      </c>
    </row>
    <row r="118" spans="1:16" ht="11.25" customHeight="1">
      <c r="A118" s="7">
        <v>1810</v>
      </c>
      <c r="B118" s="100"/>
      <c r="C118" s="6" t="s">
        <v>1</v>
      </c>
      <c r="D118" s="7"/>
      <c r="E118" s="7"/>
      <c r="F118" s="203"/>
      <c r="G118" s="186"/>
      <c r="H118" s="204">
        <v>0</v>
      </c>
      <c r="J118" s="25"/>
      <c r="K118" s="148"/>
      <c r="L118" s="171">
        <f t="shared" si="8"/>
        <v>0</v>
      </c>
      <c r="N118" s="25"/>
      <c r="O118" s="148"/>
      <c r="P118" s="171"/>
    </row>
    <row r="119" spans="1:16" ht="11.25" customHeight="1">
      <c r="A119" s="7">
        <v>1815</v>
      </c>
      <c r="B119" s="107"/>
      <c r="C119" s="6" t="s">
        <v>2</v>
      </c>
      <c r="D119" s="7"/>
      <c r="E119" s="7"/>
      <c r="F119" s="203"/>
      <c r="G119" s="186"/>
      <c r="H119" s="229">
        <v>31704.45</v>
      </c>
      <c r="J119" s="25"/>
      <c r="K119" s="148"/>
      <c r="L119" s="171">
        <f t="shared" si="8"/>
        <v>42801.00750000001</v>
      </c>
      <c r="N119" s="25"/>
      <c r="O119" s="148"/>
      <c r="P119" s="171">
        <f t="shared" si="9"/>
        <v>42801.00750000001</v>
      </c>
    </row>
    <row r="120" spans="1:16" ht="11.25" customHeight="1">
      <c r="A120" s="7">
        <v>1820</v>
      </c>
      <c r="B120" s="108"/>
      <c r="C120" s="6" t="s">
        <v>204</v>
      </c>
      <c r="D120" s="7"/>
      <c r="E120" s="7"/>
      <c r="F120" s="227"/>
      <c r="G120" s="228"/>
      <c r="H120" s="229">
        <f>SUM(H121:H123)</f>
        <v>17795.58</v>
      </c>
      <c r="J120" s="31"/>
      <c r="K120" s="160"/>
      <c r="L120" s="171">
        <f t="shared" si="8"/>
        <v>24024.033000000003</v>
      </c>
      <c r="N120" s="31"/>
      <c r="O120" s="160"/>
      <c r="P120" s="171">
        <f t="shared" si="9"/>
        <v>24024.033000000003</v>
      </c>
    </row>
    <row r="121" spans="1:16" ht="11.25" customHeight="1">
      <c r="A121" s="7"/>
      <c r="B121" s="136"/>
      <c r="C121" s="6"/>
      <c r="D121" s="7" t="s">
        <v>201</v>
      </c>
      <c r="E121" s="7"/>
      <c r="F121" s="203"/>
      <c r="G121" s="186"/>
      <c r="H121" s="204">
        <v>6300</v>
      </c>
      <c r="J121" s="25"/>
      <c r="K121" s="148"/>
      <c r="L121" s="171">
        <f t="shared" si="8"/>
        <v>8505</v>
      </c>
      <c r="N121" s="25"/>
      <c r="O121" s="148"/>
      <c r="P121" s="171">
        <f t="shared" si="9"/>
        <v>8505</v>
      </c>
    </row>
    <row r="122" spans="1:16" ht="11.25" customHeight="1">
      <c r="A122" s="7"/>
      <c r="B122" s="136"/>
      <c r="C122" s="6"/>
      <c r="D122" s="7" t="s">
        <v>202</v>
      </c>
      <c r="E122" s="7"/>
      <c r="F122" s="203"/>
      <c r="G122" s="186"/>
      <c r="H122" s="204">
        <v>9000</v>
      </c>
      <c r="J122" s="25"/>
      <c r="K122" s="148"/>
      <c r="L122" s="171">
        <f t="shared" si="8"/>
        <v>12150</v>
      </c>
      <c r="N122" s="25"/>
      <c r="O122" s="148"/>
      <c r="P122" s="171">
        <f t="shared" si="9"/>
        <v>12150</v>
      </c>
    </row>
    <row r="123" spans="1:16" ht="11.25" customHeight="1">
      <c r="A123" s="7"/>
      <c r="B123" s="136"/>
      <c r="C123" s="6"/>
      <c r="D123" s="7" t="s">
        <v>203</v>
      </c>
      <c r="E123" s="7"/>
      <c r="F123" s="203"/>
      <c r="G123" s="186"/>
      <c r="H123" s="204">
        <f>46.62+10961.7-9560.7+1047.96</f>
        <v>2495.580000000001</v>
      </c>
      <c r="J123" s="25"/>
      <c r="K123" s="148"/>
      <c r="L123" s="171">
        <f t="shared" si="8"/>
        <v>3369.0330000000013</v>
      </c>
      <c r="N123" s="25"/>
      <c r="O123" s="148"/>
      <c r="P123" s="171">
        <f t="shared" si="9"/>
        <v>3369.0330000000013</v>
      </c>
    </row>
    <row r="124" spans="1:16" ht="11.25" customHeight="1">
      <c r="A124" s="7">
        <v>1825</v>
      </c>
      <c r="B124" s="109"/>
      <c r="C124" s="6"/>
      <c r="D124" s="7" t="s">
        <v>255</v>
      </c>
      <c r="E124" s="7"/>
      <c r="F124" s="203"/>
      <c r="G124" s="186"/>
      <c r="H124" s="204">
        <v>5000</v>
      </c>
      <c r="J124" s="25"/>
      <c r="K124" s="148"/>
      <c r="L124" s="171">
        <f t="shared" si="8"/>
        <v>6750</v>
      </c>
      <c r="N124" s="25"/>
      <c r="O124" s="148"/>
      <c r="P124" s="171">
        <f t="shared" si="9"/>
        <v>6750</v>
      </c>
    </row>
    <row r="125" spans="1:16" ht="11.25" customHeight="1">
      <c r="A125" s="7">
        <v>1830</v>
      </c>
      <c r="B125" s="101"/>
      <c r="C125" s="6" t="s">
        <v>75</v>
      </c>
      <c r="D125" s="7"/>
      <c r="E125" s="7"/>
      <c r="F125" s="203"/>
      <c r="G125" s="186"/>
      <c r="H125" s="204"/>
      <c r="J125" s="25"/>
      <c r="K125" s="148"/>
      <c r="L125" s="171"/>
      <c r="N125" s="25"/>
      <c r="O125" s="148"/>
      <c r="P125" s="171"/>
    </row>
    <row r="126" spans="1:16" ht="11.25" customHeight="1">
      <c r="A126" s="7">
        <v>1835</v>
      </c>
      <c r="B126" s="110"/>
      <c r="C126" s="6" t="s">
        <v>76</v>
      </c>
      <c r="D126" s="7"/>
      <c r="E126" s="7"/>
      <c r="F126" s="203"/>
      <c r="G126" s="186"/>
      <c r="H126" s="204">
        <v>1500</v>
      </c>
      <c r="J126" s="25"/>
      <c r="K126" s="148"/>
      <c r="L126" s="171">
        <f t="shared" si="8"/>
        <v>2025.0000000000002</v>
      </c>
      <c r="N126" s="25"/>
      <c r="O126" s="148"/>
      <c r="P126" s="171">
        <f t="shared" si="9"/>
        <v>2025.0000000000002</v>
      </c>
    </row>
    <row r="127" spans="1:16" ht="11.25" customHeight="1">
      <c r="A127" s="7">
        <v>1840</v>
      </c>
      <c r="B127" s="102"/>
      <c r="C127" s="6" t="s">
        <v>246</v>
      </c>
      <c r="D127" s="7"/>
      <c r="E127" s="7"/>
      <c r="F127" s="203"/>
      <c r="G127" s="186"/>
      <c r="H127" s="204">
        <f>240+63.82</f>
        <v>303.82</v>
      </c>
      <c r="J127" s="25"/>
      <c r="K127" s="148"/>
      <c r="L127" s="171">
        <f t="shared" si="8"/>
        <v>410.15700000000004</v>
      </c>
      <c r="N127" s="25"/>
      <c r="O127" s="148"/>
      <c r="P127" s="171">
        <f t="shared" si="9"/>
        <v>410.15700000000004</v>
      </c>
    </row>
    <row r="128" spans="1:16" ht="11.25" customHeight="1">
      <c r="A128" s="7">
        <v>1845</v>
      </c>
      <c r="B128" s="111"/>
      <c r="C128" s="6" t="s">
        <v>77</v>
      </c>
      <c r="D128" s="7"/>
      <c r="E128" s="7"/>
      <c r="F128" s="203"/>
      <c r="G128" s="186"/>
      <c r="H128" s="204"/>
      <c r="J128" s="25"/>
      <c r="K128" s="148"/>
      <c r="L128" s="171">
        <f t="shared" si="8"/>
        <v>0</v>
      </c>
      <c r="N128" s="25"/>
      <c r="O128" s="148"/>
      <c r="P128" s="171"/>
    </row>
    <row r="129" spans="1:16" ht="11.25" customHeight="1">
      <c r="A129" s="7"/>
      <c r="B129" s="137"/>
      <c r="C129" s="6" t="s">
        <v>133</v>
      </c>
      <c r="D129" s="7"/>
      <c r="E129" s="7"/>
      <c r="F129" s="203"/>
      <c r="G129" s="186"/>
      <c r="H129" s="204">
        <v>1584</v>
      </c>
      <c r="J129" s="25"/>
      <c r="K129" s="148"/>
      <c r="L129" s="171">
        <f t="shared" si="8"/>
        <v>2138.4</v>
      </c>
      <c r="N129" s="25"/>
      <c r="O129" s="148"/>
      <c r="P129" s="171">
        <f t="shared" si="9"/>
        <v>2138.4</v>
      </c>
    </row>
    <row r="130" spans="1:16" ht="11.25" customHeight="1">
      <c r="A130" s="7"/>
      <c r="B130" s="137"/>
      <c r="C130" s="6" t="s">
        <v>257</v>
      </c>
      <c r="D130" s="7"/>
      <c r="E130" s="7"/>
      <c r="F130" s="203"/>
      <c r="G130" s="186"/>
      <c r="H130" s="204">
        <v>310</v>
      </c>
      <c r="J130" s="25"/>
      <c r="K130" s="148"/>
      <c r="L130" s="171">
        <f t="shared" si="8"/>
        <v>418.5</v>
      </c>
      <c r="N130" s="25"/>
      <c r="O130" s="148"/>
      <c r="P130" s="171">
        <f t="shared" si="9"/>
        <v>418.5</v>
      </c>
    </row>
    <row r="131" spans="1:16" ht="11.25" customHeight="1">
      <c r="A131" s="7"/>
      <c r="B131" s="137"/>
      <c r="C131" s="6" t="s">
        <v>134</v>
      </c>
      <c r="D131" s="7"/>
      <c r="E131" s="7"/>
      <c r="F131" s="203"/>
      <c r="G131" s="186"/>
      <c r="H131" s="204">
        <v>9000</v>
      </c>
      <c r="J131" s="25"/>
      <c r="K131" s="148"/>
      <c r="L131" s="171">
        <f t="shared" si="8"/>
        <v>12150</v>
      </c>
      <c r="N131" s="25"/>
      <c r="O131" s="148"/>
      <c r="P131" s="171">
        <f t="shared" si="9"/>
        <v>12150</v>
      </c>
    </row>
    <row r="132" spans="1:16" ht="11.25" customHeight="1">
      <c r="A132" s="7"/>
      <c r="B132" s="7"/>
      <c r="C132" s="7"/>
      <c r="D132" s="7"/>
      <c r="E132" s="7"/>
      <c r="F132" s="203"/>
      <c r="G132" s="186"/>
      <c r="H132" s="204"/>
      <c r="J132" s="25"/>
      <c r="K132" s="148"/>
      <c r="L132" s="171"/>
      <c r="N132" s="25"/>
      <c r="O132" s="148"/>
      <c r="P132" s="171"/>
    </row>
    <row r="133" spans="1:16" ht="11.25" customHeight="1">
      <c r="A133" s="26">
        <v>1900</v>
      </c>
      <c r="B133" s="27" t="s">
        <v>41</v>
      </c>
      <c r="C133" s="7"/>
      <c r="D133" s="7"/>
      <c r="E133" s="7"/>
      <c r="F133" s="205"/>
      <c r="G133" s="186"/>
      <c r="H133" s="207">
        <f>SUM(H135,H142)</f>
        <v>41109.770000000004</v>
      </c>
      <c r="J133" s="28"/>
      <c r="K133" s="148"/>
      <c r="L133" s="170">
        <f>SUM(L135,L142)</f>
        <v>66776.1755</v>
      </c>
      <c r="N133" s="28"/>
      <c r="O133" s="148"/>
      <c r="P133" s="170">
        <f>SUM(P135,P142)</f>
        <v>64281.6755</v>
      </c>
    </row>
    <row r="134" spans="1:16" ht="11.25" customHeight="1">
      <c r="A134" s="7"/>
      <c r="B134" s="7"/>
      <c r="C134" s="7"/>
      <c r="D134" s="7"/>
      <c r="E134" s="7"/>
      <c r="F134" s="203"/>
      <c r="G134" s="186"/>
      <c r="H134" s="204"/>
      <c r="J134" s="25"/>
      <c r="K134" s="148"/>
      <c r="L134" s="171"/>
      <c r="N134" s="25"/>
      <c r="O134" s="148"/>
      <c r="P134" s="171"/>
    </row>
    <row r="135" spans="1:16" ht="11.25" customHeight="1">
      <c r="A135" s="29">
        <v>1910</v>
      </c>
      <c r="B135" s="80"/>
      <c r="C135" s="30" t="s">
        <v>78</v>
      </c>
      <c r="D135" s="7"/>
      <c r="E135" s="7"/>
      <c r="F135" s="227"/>
      <c r="G135" s="228"/>
      <c r="H135" s="229">
        <f>SUM(H136:H140)</f>
        <v>31549.07</v>
      </c>
      <c r="J135" s="31"/>
      <c r="K135" s="160"/>
      <c r="L135" s="166">
        <f>SUM(L136:L140)</f>
        <v>53478.9755</v>
      </c>
      <c r="N135" s="31"/>
      <c r="O135" s="160"/>
      <c r="P135" s="166">
        <f>SUM(P136:P140)</f>
        <v>53478.9755</v>
      </c>
    </row>
    <row r="136" spans="1:16" ht="11.25" customHeight="1">
      <c r="A136" s="7">
        <v>1911</v>
      </c>
      <c r="B136" s="7"/>
      <c r="C136" s="7"/>
      <c r="D136" s="6" t="s">
        <v>268</v>
      </c>
      <c r="E136" s="6"/>
      <c r="F136" s="203"/>
      <c r="G136" s="186"/>
      <c r="H136" s="204">
        <v>1188.13</v>
      </c>
      <c r="J136" s="25"/>
      <c r="K136" s="148"/>
      <c r="L136" s="171">
        <f aca="true" t="shared" si="10" ref="L136:L141">H136*($L$8+$L$9)</f>
        <v>1603.9755000000002</v>
      </c>
      <c r="N136" s="25"/>
      <c r="O136" s="148"/>
      <c r="P136" s="171">
        <f>L136</f>
        <v>1603.9755000000002</v>
      </c>
    </row>
    <row r="137" spans="1:17" ht="11.25" customHeight="1">
      <c r="A137" s="7">
        <v>1912</v>
      </c>
      <c r="B137" s="7"/>
      <c r="C137" s="7"/>
      <c r="D137" s="6" t="s">
        <v>205</v>
      </c>
      <c r="E137" s="6" t="s">
        <v>266</v>
      </c>
      <c r="F137" s="203"/>
      <c r="G137" s="186"/>
      <c r="H137" s="204">
        <f>21500-550*6-475</f>
        <v>17725</v>
      </c>
      <c r="J137" s="25"/>
      <c r="K137" s="148"/>
      <c r="L137" s="171">
        <v>35000</v>
      </c>
      <c r="N137" s="25"/>
      <c r="O137" s="148"/>
      <c r="P137" s="171">
        <v>35000</v>
      </c>
      <c r="Q137" t="s">
        <v>320</v>
      </c>
    </row>
    <row r="138" spans="1:16" ht="11.25" customHeight="1">
      <c r="A138" s="7">
        <v>1913</v>
      </c>
      <c r="B138" s="7"/>
      <c r="C138" s="7"/>
      <c r="D138" s="6" t="s">
        <v>267</v>
      </c>
      <c r="E138" s="6"/>
      <c r="F138" s="203"/>
      <c r="G138" s="186"/>
      <c r="H138" s="204">
        <v>5000</v>
      </c>
      <c r="J138" s="25"/>
      <c r="K138" s="148"/>
      <c r="L138" s="171">
        <f t="shared" si="10"/>
        <v>6750</v>
      </c>
      <c r="N138" s="25"/>
      <c r="O138" s="148"/>
      <c r="P138" s="171">
        <f>L138</f>
        <v>6750</v>
      </c>
    </row>
    <row r="139" spans="1:16" ht="11.25" customHeight="1">
      <c r="A139" s="7"/>
      <c r="B139" s="7"/>
      <c r="C139" s="7"/>
      <c r="D139" s="6" t="s">
        <v>105</v>
      </c>
      <c r="E139" s="6"/>
      <c r="F139" s="203"/>
      <c r="G139" s="186"/>
      <c r="H139" s="186">
        <f>2000+20*(F37-80)</f>
        <v>7500</v>
      </c>
      <c r="J139" s="25"/>
      <c r="K139" s="148"/>
      <c r="L139" s="171">
        <f t="shared" si="10"/>
        <v>10125</v>
      </c>
      <c r="N139" s="25"/>
      <c r="O139" s="148"/>
      <c r="P139" s="171">
        <f>L139</f>
        <v>10125</v>
      </c>
    </row>
    <row r="140" spans="1:16" ht="11.25" customHeight="1">
      <c r="A140" s="7" t="s">
        <v>159</v>
      </c>
      <c r="B140" s="7"/>
      <c r="C140" s="7"/>
      <c r="D140" s="6"/>
      <c r="E140" s="6" t="s">
        <v>226</v>
      </c>
      <c r="F140" s="203"/>
      <c r="G140" s="186"/>
      <c r="H140" s="204">
        <v>135.94</v>
      </c>
      <c r="J140" s="25"/>
      <c r="K140" s="148"/>
      <c r="L140" s="171">
        <v>0</v>
      </c>
      <c r="N140" s="25"/>
      <c r="O140" s="148"/>
      <c r="P140" s="171">
        <f>L140</f>
        <v>0</v>
      </c>
    </row>
    <row r="141" spans="1:16" ht="11.25" customHeight="1">
      <c r="A141" s="7"/>
      <c r="B141" s="7"/>
      <c r="C141" s="7"/>
      <c r="D141" s="7"/>
      <c r="E141" s="7"/>
      <c r="F141" s="203"/>
      <c r="G141" s="186"/>
      <c r="H141" s="204"/>
      <c r="J141" s="25"/>
      <c r="K141" s="148"/>
      <c r="L141" s="171">
        <f t="shared" si="10"/>
        <v>0</v>
      </c>
      <c r="N141" s="25"/>
      <c r="O141" s="148"/>
      <c r="P141" s="171">
        <f>L141</f>
        <v>0</v>
      </c>
    </row>
    <row r="142" spans="1:16" ht="11.25" customHeight="1">
      <c r="A142" s="29">
        <v>1980</v>
      </c>
      <c r="B142" s="92"/>
      <c r="C142" s="30" t="s">
        <v>34</v>
      </c>
      <c r="D142" s="7"/>
      <c r="E142" s="7"/>
      <c r="F142" s="227"/>
      <c r="G142" s="228"/>
      <c r="H142" s="229">
        <f>SUM(H143:H143)</f>
        <v>9560.7</v>
      </c>
      <c r="J142" s="31"/>
      <c r="K142" s="160"/>
      <c r="L142" s="166">
        <f>SUM(L143:L143)</f>
        <v>13297.199999999999</v>
      </c>
      <c r="N142" s="31"/>
      <c r="O142" s="160"/>
      <c r="P142" s="166">
        <f>SUM(P143:P143)</f>
        <v>10802.699999999999</v>
      </c>
    </row>
    <row r="143" spans="1:17" ht="11.25" customHeight="1">
      <c r="A143" s="7">
        <v>1982</v>
      </c>
      <c r="B143" s="7"/>
      <c r="C143" s="7"/>
      <c r="D143" s="6" t="s">
        <v>217</v>
      </c>
      <c r="E143" s="6"/>
      <c r="F143" s="203"/>
      <c r="G143" s="186"/>
      <c r="H143" s="204">
        <v>9560.7</v>
      </c>
      <c r="J143" s="25"/>
      <c r="K143" s="148"/>
      <c r="L143" s="171">
        <f>0.03*L20</f>
        <v>13297.199999999999</v>
      </c>
      <c r="M143" s="178">
        <v>0.03</v>
      </c>
      <c r="N143" s="25"/>
      <c r="O143" s="148"/>
      <c r="P143" s="171">
        <f>0.03*P20</f>
        <v>10802.699999999999</v>
      </c>
      <c r="Q143" s="178" t="s">
        <v>326</v>
      </c>
    </row>
    <row r="144" spans="1:16" ht="11.25" customHeight="1">
      <c r="A144" s="7"/>
      <c r="B144" s="7"/>
      <c r="C144" s="7"/>
      <c r="D144" s="7"/>
      <c r="E144" s="7"/>
      <c r="F144" s="203"/>
      <c r="G144" s="186"/>
      <c r="H144" s="204"/>
      <c r="J144" s="25"/>
      <c r="K144" s="148"/>
      <c r="L144" s="171"/>
      <c r="N144" s="25"/>
      <c r="O144" s="148"/>
      <c r="P144" s="171"/>
    </row>
    <row r="145" spans="1:16" ht="11.25" customHeight="1">
      <c r="A145" s="26">
        <v>2100</v>
      </c>
      <c r="B145" s="27" t="s">
        <v>218</v>
      </c>
      <c r="C145" s="7"/>
      <c r="D145" s="7"/>
      <c r="E145" s="7"/>
      <c r="F145" s="205"/>
      <c r="G145" s="186"/>
      <c r="H145" s="207">
        <f>35000</f>
        <v>35000</v>
      </c>
      <c r="J145" s="28"/>
      <c r="K145" s="148"/>
      <c r="L145" s="171">
        <f>L71</f>
        <v>40000</v>
      </c>
      <c r="N145" s="28"/>
      <c r="O145" s="148"/>
      <c r="P145" s="171">
        <f>P71</f>
        <v>40000</v>
      </c>
    </row>
    <row r="146" spans="1:16" ht="10.5" customHeight="1">
      <c r="A146" s="7"/>
      <c r="B146" s="7"/>
      <c r="C146" s="7"/>
      <c r="D146" s="7"/>
      <c r="E146" s="7"/>
      <c r="F146" s="203"/>
      <c r="G146" s="186"/>
      <c r="H146" s="204"/>
      <c r="J146" s="25"/>
      <c r="K146" s="148"/>
      <c r="L146" s="171"/>
      <c r="N146" s="25"/>
      <c r="O146" s="148"/>
      <c r="P146" s="171"/>
    </row>
    <row r="147" spans="11:16" ht="12.75">
      <c r="K147" s="155"/>
      <c r="L147" s="155"/>
      <c r="O147" s="155"/>
      <c r="P147" s="155"/>
    </row>
    <row r="148" spans="5:16" ht="12.75">
      <c r="E148" t="s">
        <v>225</v>
      </c>
      <c r="H148" s="208">
        <f>H94+H97+H98+H101</f>
        <v>107545.5</v>
      </c>
      <c r="K148" s="155"/>
      <c r="L148" s="155"/>
      <c r="O148" s="155"/>
      <c r="P148" s="155"/>
    </row>
    <row r="149" spans="5:16" ht="12.75">
      <c r="E149" t="s">
        <v>227</v>
      </c>
      <c r="H149" s="208">
        <v>5254.5</v>
      </c>
      <c r="K149" s="155"/>
      <c r="L149" s="155"/>
      <c r="O149" s="155"/>
      <c r="P149" s="155"/>
    </row>
    <row r="150" spans="5:16" ht="12.75">
      <c r="E150" t="s">
        <v>226</v>
      </c>
      <c r="H150" s="208">
        <f>H140</f>
        <v>135.94</v>
      </c>
      <c r="K150" s="155"/>
      <c r="L150" s="155"/>
      <c r="O150" s="155"/>
      <c r="P150" s="155"/>
    </row>
    <row r="151" spans="5:16" ht="12.75">
      <c r="E151" t="s">
        <v>6</v>
      </c>
      <c r="H151" s="208">
        <v>625</v>
      </c>
      <c r="K151" s="155"/>
      <c r="L151" s="155"/>
      <c r="O151" s="155"/>
      <c r="P151" s="155"/>
    </row>
    <row r="152" spans="5:16" ht="12.75">
      <c r="E152" t="s">
        <v>7</v>
      </c>
      <c r="H152" s="208">
        <v>63.82</v>
      </c>
      <c r="K152" s="155"/>
      <c r="L152" s="155"/>
      <c r="O152" s="155"/>
      <c r="P152" s="155"/>
    </row>
    <row r="153" spans="5:16" ht="12.75">
      <c r="E153" t="s">
        <v>0</v>
      </c>
      <c r="H153" s="208">
        <v>-4223.04</v>
      </c>
      <c r="K153" s="155"/>
      <c r="L153" s="155"/>
      <c r="O153" s="155"/>
      <c r="P153" s="155"/>
    </row>
    <row r="154" spans="5:16" ht="12.75">
      <c r="E154" t="s">
        <v>224</v>
      </c>
      <c r="H154" s="208">
        <f>SUM(H148:H153)</f>
        <v>109401.72000000002</v>
      </c>
      <c r="K154" s="155"/>
      <c r="L154" s="155"/>
      <c r="O154" s="155"/>
      <c r="P154" s="155"/>
    </row>
    <row r="155" spans="11:16" ht="12.75">
      <c r="K155" s="155"/>
      <c r="L155" s="155"/>
      <c r="O155" s="155"/>
      <c r="P155" s="155"/>
    </row>
    <row r="156" spans="5:16" ht="12.75">
      <c r="E156" t="s">
        <v>55</v>
      </c>
      <c r="H156" s="208">
        <f>H20</f>
        <v>327740</v>
      </c>
      <c r="K156" s="155"/>
      <c r="L156" s="155"/>
      <c r="O156" s="155"/>
      <c r="P156" s="155"/>
    </row>
    <row r="157" spans="5:16" ht="12.75">
      <c r="E157" t="s">
        <v>54</v>
      </c>
      <c r="H157" s="208">
        <f>H66+H67</f>
        <v>440</v>
      </c>
      <c r="K157" s="155"/>
      <c r="L157" s="155"/>
      <c r="O157" s="155"/>
      <c r="P157" s="155"/>
    </row>
    <row r="158" spans="5:16" ht="12.75">
      <c r="E158" t="s">
        <v>56</v>
      </c>
      <c r="H158" s="208">
        <f>H61+H62</f>
        <v>6280</v>
      </c>
      <c r="K158" s="155"/>
      <c r="L158" s="155"/>
      <c r="O158" s="155"/>
      <c r="P158" s="155"/>
    </row>
    <row r="159" spans="5:16" ht="12.75">
      <c r="E159" t="s">
        <v>57</v>
      </c>
      <c r="H159" s="208">
        <f>SUM(H156:H158)</f>
        <v>334460</v>
      </c>
      <c r="K159" s="155"/>
      <c r="L159" s="155"/>
      <c r="O159" s="155"/>
      <c r="P159" s="155"/>
    </row>
    <row r="160" spans="11:16" ht="12.75">
      <c r="K160" s="155"/>
      <c r="L160" s="155"/>
      <c r="O160" s="155"/>
      <c r="P160" s="155"/>
    </row>
  </sheetData>
  <printOptions gridLines="1"/>
  <pageMargins left="0.75" right="0.75" top="1" bottom="1" header="0.511811023" footer="0.511811023"/>
  <pageSetup orientation="landscape" scale="80"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R160"/>
  <sheetViews>
    <sheetView tabSelected="1" workbookViewId="0" topLeftCell="A1">
      <selection activeCell="K7" sqref="K7"/>
    </sheetView>
  </sheetViews>
  <sheetFormatPr defaultColWidth="9.140625" defaultRowHeight="12.75"/>
  <cols>
    <col min="1" max="1" width="6.00390625" style="0" customWidth="1"/>
    <col min="2" max="4" width="1.7109375" style="0" customWidth="1"/>
    <col min="5" max="5" width="18.7109375" style="0" customWidth="1"/>
    <col min="6" max="6" width="6.00390625" style="231" customWidth="1"/>
    <col min="7" max="7" width="7.8515625" style="208" customWidth="1"/>
    <col min="8" max="8" width="12.8515625" style="208" bestFit="1" customWidth="1"/>
    <col min="9" max="16384" width="11.421875" style="0" customWidth="1"/>
  </cols>
  <sheetData>
    <row r="1" spans="1:16" ht="11.25" customHeight="1">
      <c r="A1" s="6"/>
      <c r="B1" s="7"/>
      <c r="C1" s="7"/>
      <c r="D1" s="7"/>
      <c r="E1" s="7" t="s">
        <v>261</v>
      </c>
      <c r="F1" s="185" t="s">
        <v>319</v>
      </c>
      <c r="G1" s="186"/>
      <c r="H1" s="186"/>
      <c r="J1" s="8" t="s">
        <v>245</v>
      </c>
      <c r="K1" s="148"/>
      <c r="L1" s="148"/>
      <c r="N1" s="8" t="s">
        <v>245</v>
      </c>
      <c r="O1" s="148"/>
      <c r="P1" s="148"/>
    </row>
    <row r="2" spans="1:16" ht="11.25" customHeight="1">
      <c r="A2" s="9"/>
      <c r="B2" s="9"/>
      <c r="C2" s="9"/>
      <c r="D2" s="9"/>
      <c r="E2" s="10" t="s">
        <v>160</v>
      </c>
      <c r="F2" s="187" t="s">
        <v>262</v>
      </c>
      <c r="G2" s="188"/>
      <c r="H2" s="188"/>
      <c r="J2" s="11" t="s">
        <v>310</v>
      </c>
      <c r="K2" s="149"/>
      <c r="L2" s="149"/>
      <c r="N2" s="11" t="s">
        <v>310</v>
      </c>
      <c r="O2" s="149"/>
      <c r="P2" s="149"/>
    </row>
    <row r="3" spans="1:16" ht="11.25" customHeight="1">
      <c r="A3" s="9"/>
      <c r="B3" s="9"/>
      <c r="C3" s="9"/>
      <c r="D3" s="9"/>
      <c r="E3" s="6"/>
      <c r="F3" s="189"/>
      <c r="G3" s="190"/>
      <c r="H3" s="190"/>
      <c r="J3" s="6"/>
      <c r="K3" s="150"/>
      <c r="L3" s="150"/>
      <c r="N3" s="6"/>
      <c r="O3" s="150"/>
      <c r="P3" s="150"/>
    </row>
    <row r="4" spans="1:16" ht="11.25" customHeight="1">
      <c r="A4" s="75"/>
      <c r="B4" s="7" t="s">
        <v>159</v>
      </c>
      <c r="C4" s="7"/>
      <c r="D4" s="7"/>
      <c r="E4" s="12" t="s">
        <v>303</v>
      </c>
      <c r="F4" s="185" t="s">
        <v>263</v>
      </c>
      <c r="G4" s="191"/>
      <c r="H4" s="192"/>
      <c r="J4" s="8" t="s">
        <v>314</v>
      </c>
      <c r="K4" s="151"/>
      <c r="L4" s="162"/>
      <c r="N4" s="8" t="s">
        <v>314</v>
      </c>
      <c r="O4" s="151"/>
      <c r="P4" s="162"/>
    </row>
    <row r="5" spans="1:16" ht="11.25" customHeight="1">
      <c r="A5" s="7"/>
      <c r="B5" s="7"/>
      <c r="C5" s="7"/>
      <c r="D5" s="7"/>
      <c r="E5" s="7"/>
      <c r="F5" s="193"/>
      <c r="G5" s="194"/>
      <c r="H5" s="194"/>
      <c r="J5" s="14"/>
      <c r="K5" s="152"/>
      <c r="L5" s="152"/>
      <c r="N5" s="14"/>
      <c r="O5" s="152"/>
      <c r="P5" s="152"/>
    </row>
    <row r="6" spans="1:16" ht="11.25" customHeight="1">
      <c r="A6" s="15" t="s">
        <v>304</v>
      </c>
      <c r="B6" s="16"/>
      <c r="C6" s="16"/>
      <c r="D6" s="17"/>
      <c r="E6" s="16"/>
      <c r="F6" s="195"/>
      <c r="G6" s="232" t="s">
        <v>324</v>
      </c>
      <c r="H6" s="196"/>
      <c r="J6" s="18"/>
      <c r="K6" s="184" t="s">
        <v>328</v>
      </c>
      <c r="L6" s="163"/>
      <c r="N6" s="18"/>
      <c r="O6" s="153" t="s">
        <v>321</v>
      </c>
      <c r="P6" s="163"/>
    </row>
    <row r="7" spans="1:16" ht="11.25" customHeight="1">
      <c r="A7" s="19" t="s">
        <v>305</v>
      </c>
      <c r="B7" s="77"/>
      <c r="C7" s="6" t="s">
        <v>306</v>
      </c>
      <c r="D7" s="20"/>
      <c r="E7" s="7"/>
      <c r="F7" s="197" t="s">
        <v>159</v>
      </c>
      <c r="G7" s="198" t="s">
        <v>315</v>
      </c>
      <c r="H7" s="199"/>
      <c r="J7" s="21" t="s">
        <v>159</v>
      </c>
      <c r="K7" s="169"/>
      <c r="L7" s="164" t="s">
        <v>311</v>
      </c>
      <c r="N7" s="21" t="s">
        <v>159</v>
      </c>
      <c r="O7" s="169"/>
      <c r="P7" s="164" t="s">
        <v>311</v>
      </c>
    </row>
    <row r="8" spans="1:16" ht="11.25" customHeight="1">
      <c r="A8" s="22"/>
      <c r="B8" s="13"/>
      <c r="C8" s="23"/>
      <c r="D8" s="24"/>
      <c r="E8" s="13"/>
      <c r="F8" s="200"/>
      <c r="G8" s="201"/>
      <c r="H8" s="202"/>
      <c r="J8" s="168" t="s">
        <v>312</v>
      </c>
      <c r="L8" s="165">
        <v>1.25</v>
      </c>
      <c r="N8" s="168" t="s">
        <v>312</v>
      </c>
      <c r="P8" s="165">
        <v>1.25</v>
      </c>
    </row>
    <row r="9" spans="1:16" ht="12.75">
      <c r="A9" s="7"/>
      <c r="B9" s="7"/>
      <c r="C9" s="7"/>
      <c r="D9" s="7"/>
      <c r="E9" s="7"/>
      <c r="F9" s="203"/>
      <c r="G9" s="186"/>
      <c r="H9" s="204"/>
      <c r="J9" s="148" t="s">
        <v>316</v>
      </c>
      <c r="K9" s="148"/>
      <c r="L9" s="161">
        <f>0.025*4</f>
        <v>0.1</v>
      </c>
      <c r="N9" s="148" t="s">
        <v>316</v>
      </c>
      <c r="O9" s="148"/>
      <c r="P9" s="161">
        <f>0.025*4</f>
        <v>0.1</v>
      </c>
    </row>
    <row r="10" spans="1:16" ht="12.75">
      <c r="A10" s="7"/>
      <c r="B10" s="7"/>
      <c r="C10" s="7"/>
      <c r="D10" s="7"/>
      <c r="E10" s="7"/>
      <c r="F10" s="203"/>
      <c r="G10" s="186"/>
      <c r="H10" s="204"/>
      <c r="J10" s="25"/>
      <c r="K10" s="148"/>
      <c r="L10" s="161"/>
      <c r="N10" s="25"/>
      <c r="O10" s="148"/>
      <c r="P10" s="161"/>
    </row>
    <row r="11" spans="1:16" ht="11.25" customHeight="1">
      <c r="A11" s="26">
        <v>2500</v>
      </c>
      <c r="B11" s="27" t="s">
        <v>307</v>
      </c>
      <c r="C11" s="26"/>
      <c r="D11" s="26"/>
      <c r="E11" s="26"/>
      <c r="F11" s="205"/>
      <c r="G11" s="206"/>
      <c r="H11" s="207">
        <f>H13-H15</f>
        <v>76143.48999999999</v>
      </c>
      <c r="J11" s="28"/>
      <c r="K11" s="154"/>
      <c r="L11" s="170">
        <f>L13-L15</f>
        <v>52887.527</v>
      </c>
      <c r="N11" s="28"/>
      <c r="O11" s="154"/>
      <c r="P11" s="170">
        <f>P13-P15</f>
        <v>996.9270000000251</v>
      </c>
    </row>
    <row r="12" spans="1:16" ht="11.25" customHeight="1">
      <c r="A12" s="8"/>
      <c r="B12" s="8"/>
      <c r="C12" s="8"/>
      <c r="D12" s="8"/>
      <c r="E12" s="8"/>
      <c r="F12" s="203"/>
      <c r="G12" s="186"/>
      <c r="H12" s="204"/>
      <c r="J12" s="25"/>
      <c r="K12" s="148"/>
      <c r="L12" s="171"/>
      <c r="N12" s="25"/>
      <c r="O12" s="148"/>
      <c r="P12" s="171"/>
    </row>
    <row r="13" spans="1:16" ht="11.25" customHeight="1">
      <c r="A13" s="26">
        <v>1300</v>
      </c>
      <c r="B13" s="27" t="s">
        <v>308</v>
      </c>
      <c r="C13" s="26"/>
      <c r="D13" s="26"/>
      <c r="E13" s="26"/>
      <c r="F13" s="205"/>
      <c r="G13" s="206"/>
      <c r="H13" s="207">
        <f>H18+H71</f>
        <v>433060</v>
      </c>
      <c r="J13" s="28"/>
      <c r="K13" s="154"/>
      <c r="L13" s="170">
        <f>L18+L71</f>
        <v>590105</v>
      </c>
      <c r="N13" s="28"/>
      <c r="O13" s="154"/>
      <c r="P13" s="170">
        <f>P18+P71</f>
        <v>493145</v>
      </c>
    </row>
    <row r="14" spans="1:16" ht="11.25" customHeight="1">
      <c r="A14" s="8"/>
      <c r="B14" s="8"/>
      <c r="C14" s="8"/>
      <c r="D14" s="8"/>
      <c r="E14" s="8"/>
      <c r="F14" s="203"/>
      <c r="G14" s="186"/>
      <c r="H14" s="204"/>
      <c r="J14" s="25"/>
      <c r="K14" s="148"/>
      <c r="L14" s="171"/>
      <c r="N14" s="25"/>
      <c r="O14" s="148"/>
      <c r="P14" s="171"/>
    </row>
    <row r="15" spans="1:16" ht="11.25" customHeight="1">
      <c r="A15" s="26">
        <v>2200</v>
      </c>
      <c r="B15" s="27" t="s">
        <v>249</v>
      </c>
      <c r="C15" s="26"/>
      <c r="D15" s="26"/>
      <c r="E15" s="26"/>
      <c r="F15" s="205"/>
      <c r="G15" s="206"/>
      <c r="H15" s="207">
        <f>H73+H145</f>
        <v>356916.51</v>
      </c>
      <c r="J15" s="28"/>
      <c r="K15" s="154"/>
      <c r="L15" s="170">
        <f>L73+L145</f>
        <v>537217.473</v>
      </c>
      <c r="N15" s="28"/>
      <c r="O15" s="154"/>
      <c r="P15" s="170">
        <f>P73+P145</f>
        <v>492148.073</v>
      </c>
    </row>
    <row r="16" spans="1:16" ht="12.75">
      <c r="A16" s="7"/>
      <c r="B16" s="7"/>
      <c r="C16" s="7"/>
      <c r="D16" s="7"/>
      <c r="E16" s="7"/>
      <c r="F16" s="203"/>
      <c r="G16" s="186"/>
      <c r="H16" s="204"/>
      <c r="J16" s="25"/>
      <c r="K16" s="148"/>
      <c r="L16" s="171"/>
      <c r="N16" s="25"/>
      <c r="O16" s="148"/>
      <c r="P16" s="171"/>
    </row>
    <row r="17" spans="1:16" ht="11.25" customHeight="1">
      <c r="A17" s="7"/>
      <c r="B17" s="7"/>
      <c r="C17" s="7"/>
      <c r="D17" s="7"/>
      <c r="E17" s="7"/>
      <c r="F17" s="203"/>
      <c r="G17" s="186"/>
      <c r="H17" s="204"/>
      <c r="J17" s="25"/>
      <c r="K17" s="148"/>
      <c r="L17" s="171"/>
      <c r="N17" s="25"/>
      <c r="O17" s="148"/>
      <c r="P17" s="171"/>
    </row>
    <row r="18" spans="1:16" ht="11.25" customHeight="1">
      <c r="A18" s="26">
        <v>1100</v>
      </c>
      <c r="B18" s="27" t="s">
        <v>250</v>
      </c>
      <c r="C18" s="26"/>
      <c r="D18" s="26"/>
      <c r="E18" s="26"/>
      <c r="F18" s="205"/>
      <c r="G18" s="206"/>
      <c r="H18" s="207">
        <f>SUM(H20,H54,H59,H64)</f>
        <v>398060</v>
      </c>
      <c r="J18" s="28"/>
      <c r="K18" s="154"/>
      <c r="L18" s="170">
        <f>SUM(L20,L54,L59,L64)</f>
        <v>550105</v>
      </c>
      <c r="N18" s="28"/>
      <c r="O18" s="154"/>
      <c r="P18" s="170">
        <f>SUM(P20,P54,P59,P64)</f>
        <v>453145</v>
      </c>
    </row>
    <row r="19" spans="1:18" ht="11.25" customHeight="1">
      <c r="A19" s="7"/>
      <c r="B19" s="7"/>
      <c r="C19" s="7"/>
      <c r="D19" s="7"/>
      <c r="E19" s="7"/>
      <c r="F19" s="203"/>
      <c r="G19" s="186"/>
      <c r="H19" s="204"/>
      <c r="J19" s="25"/>
      <c r="K19" s="148"/>
      <c r="L19" s="171"/>
      <c r="N19" s="25"/>
      <c r="O19" s="148"/>
      <c r="P19" s="171"/>
      <c r="R19" t="s">
        <v>327</v>
      </c>
    </row>
    <row r="20" spans="1:16" ht="11.25" customHeight="1">
      <c r="A20" s="26">
        <v>600</v>
      </c>
      <c r="B20" s="27" t="s">
        <v>251</v>
      </c>
      <c r="C20" s="26"/>
      <c r="D20" s="26"/>
      <c r="E20" s="26"/>
      <c r="F20" s="205">
        <f>SUM(F22,F23,F24,F28,F29,F30)</f>
        <v>808</v>
      </c>
      <c r="H20" s="207">
        <f>SUM(H22,H23,H24,H28,H29,H30,H37,H52)</f>
        <v>327740</v>
      </c>
      <c r="J20" s="28">
        <f>SUM(J22,J23,J24,J28,J29,J30)</f>
        <v>880</v>
      </c>
      <c r="K20" s="155"/>
      <c r="L20" s="170">
        <f>SUM(L22,L23,L24,L28,L29,L30,L37,L52)</f>
        <v>502370</v>
      </c>
      <c r="N20" s="28">
        <f>SUM(N22,N23,N24,N28,N29,N30)</f>
        <v>721</v>
      </c>
      <c r="O20" s="155"/>
      <c r="P20" s="170">
        <f>SUM(P22,P23,P24,P28,P29,P30,P37,P52)</f>
        <v>408390</v>
      </c>
    </row>
    <row r="21" spans="1:16" ht="11.25" customHeight="1">
      <c r="A21" s="7"/>
      <c r="B21" s="7"/>
      <c r="C21" s="7"/>
      <c r="D21" s="7"/>
      <c r="E21" s="7"/>
      <c r="F21" s="203"/>
      <c r="G21" s="186"/>
      <c r="H21" s="204"/>
      <c r="J21" s="25"/>
      <c r="K21" s="148"/>
      <c r="L21" s="171"/>
      <c r="N21" s="25"/>
      <c r="O21" s="148"/>
      <c r="P21" s="171"/>
    </row>
    <row r="22" spans="1:18" ht="11.25" customHeight="1">
      <c r="A22" s="29">
        <v>610</v>
      </c>
      <c r="B22" s="69"/>
      <c r="C22" s="30" t="s">
        <v>215</v>
      </c>
      <c r="D22" s="7"/>
      <c r="E22" s="7"/>
      <c r="F22" s="209">
        <v>307</v>
      </c>
      <c r="G22" s="210">
        <v>475</v>
      </c>
      <c r="H22" s="211">
        <f>G22*F22</f>
        <v>145825</v>
      </c>
      <c r="J22" s="139">
        <v>331</v>
      </c>
      <c r="K22" s="156">
        <f>$R22+60</f>
        <v>660</v>
      </c>
      <c r="L22" s="172">
        <f>K22*J22</f>
        <v>218460</v>
      </c>
      <c r="N22" s="139">
        <v>270</v>
      </c>
      <c r="O22" s="156">
        <f>$R22+60</f>
        <v>660</v>
      </c>
      <c r="P22" s="172">
        <f>O22*N22</f>
        <v>178200</v>
      </c>
      <c r="R22" s="156">
        <v>600</v>
      </c>
    </row>
    <row r="23" spans="1:18" ht="11.25" customHeight="1">
      <c r="A23" s="29">
        <v>620</v>
      </c>
      <c r="B23" s="79"/>
      <c r="C23" s="30" t="s">
        <v>252</v>
      </c>
      <c r="D23" s="7"/>
      <c r="E23" s="7"/>
      <c r="F23" s="212">
        <v>59</v>
      </c>
      <c r="G23" s="210">
        <v>550</v>
      </c>
      <c r="H23" s="211">
        <f>G23*F23</f>
        <v>32450</v>
      </c>
      <c r="J23" s="141">
        <v>66</v>
      </c>
      <c r="K23" s="156">
        <f>$R23+60</f>
        <v>760</v>
      </c>
      <c r="L23" s="172">
        <f>K23*J23</f>
        <v>50160</v>
      </c>
      <c r="N23" s="141">
        <v>50</v>
      </c>
      <c r="O23" s="156">
        <f>$R23+60</f>
        <v>760</v>
      </c>
      <c r="P23" s="172">
        <f>O23*N23</f>
        <v>38000</v>
      </c>
      <c r="R23" s="156">
        <v>700</v>
      </c>
    </row>
    <row r="24" spans="1:18" ht="11.25" customHeight="1">
      <c r="A24" s="29">
        <v>630</v>
      </c>
      <c r="B24" s="80"/>
      <c r="C24" s="30" t="s">
        <v>31</v>
      </c>
      <c r="D24" s="7"/>
      <c r="E24" s="7"/>
      <c r="F24" s="212">
        <f>SUM(F25:F27)</f>
        <v>291</v>
      </c>
      <c r="G24" s="213"/>
      <c r="H24" s="211">
        <f>SUM(H25:H27)</f>
        <v>63325</v>
      </c>
      <c r="J24" s="141">
        <f>SUM(J25:J27)</f>
        <v>318</v>
      </c>
      <c r="K24" s="156"/>
      <c r="L24" s="172">
        <f>SUM(L25:L27)</f>
        <v>100640</v>
      </c>
      <c r="N24" s="141">
        <f>SUM(N25:N27)</f>
        <v>265</v>
      </c>
      <c r="O24" s="156"/>
      <c r="P24" s="172">
        <f>SUM(P25:P27)</f>
        <v>83450</v>
      </c>
      <c r="R24" s="156"/>
    </row>
    <row r="25" spans="1:18" ht="11.25" customHeight="1">
      <c r="A25" s="7">
        <v>633</v>
      </c>
      <c r="B25" s="7"/>
      <c r="C25" s="7"/>
      <c r="D25" s="6" t="s">
        <v>32</v>
      </c>
      <c r="E25" s="81"/>
      <c r="F25" s="214">
        <v>5</v>
      </c>
      <c r="G25" s="215">
        <v>225</v>
      </c>
      <c r="H25" s="216">
        <f>G25*F25</f>
        <v>1125</v>
      </c>
      <c r="J25" s="142">
        <v>5</v>
      </c>
      <c r="K25" s="156">
        <f>$R25+30</f>
        <v>330</v>
      </c>
      <c r="L25" s="173">
        <f>K25*J25</f>
        <v>1650</v>
      </c>
      <c r="N25" s="142">
        <v>5</v>
      </c>
      <c r="O25" s="156">
        <f>$R25+30</f>
        <v>330</v>
      </c>
      <c r="P25" s="173">
        <f>O25*N25</f>
        <v>1650</v>
      </c>
      <c r="R25" s="156">
        <v>300</v>
      </c>
    </row>
    <row r="26" spans="1:18" ht="11.25" customHeight="1">
      <c r="A26" s="7" t="s">
        <v>52</v>
      </c>
      <c r="B26" s="7"/>
      <c r="C26" s="7"/>
      <c r="D26" s="6" t="s">
        <v>132</v>
      </c>
      <c r="E26" s="82"/>
      <c r="F26" s="214">
        <v>43</v>
      </c>
      <c r="G26" s="215">
        <v>175</v>
      </c>
      <c r="H26" s="216">
        <f>G26*F26</f>
        <v>7525</v>
      </c>
      <c r="J26" s="142">
        <v>43</v>
      </c>
      <c r="K26" s="156">
        <f>$R26+30</f>
        <v>230</v>
      </c>
      <c r="L26" s="173">
        <f>K26*J26</f>
        <v>9890</v>
      </c>
      <c r="N26" s="142">
        <v>40</v>
      </c>
      <c r="O26" s="156">
        <f>$R26+30</f>
        <v>230</v>
      </c>
      <c r="P26" s="173">
        <f>O26*N26</f>
        <v>9200</v>
      </c>
      <c r="R26" s="156">
        <v>200</v>
      </c>
    </row>
    <row r="27" spans="1:18" ht="11.25" customHeight="1">
      <c r="A27" s="7" t="s">
        <v>53</v>
      </c>
      <c r="B27" s="7"/>
      <c r="C27" s="7"/>
      <c r="D27" s="6" t="s">
        <v>33</v>
      </c>
      <c r="E27" s="82"/>
      <c r="F27" s="214">
        <v>243</v>
      </c>
      <c r="G27" s="215">
        <v>225</v>
      </c>
      <c r="H27" s="216">
        <f>G27*F27</f>
        <v>54675</v>
      </c>
      <c r="J27" s="142">
        <v>270</v>
      </c>
      <c r="K27" s="156">
        <f>$R27+30</f>
        <v>330</v>
      </c>
      <c r="L27" s="173">
        <f>K27*J27</f>
        <v>89100</v>
      </c>
      <c r="N27" s="142">
        <v>220</v>
      </c>
      <c r="O27" s="156">
        <f>$R27+30</f>
        <v>330</v>
      </c>
      <c r="P27" s="173">
        <f>O27*N27</f>
        <v>72600</v>
      </c>
      <c r="R27" s="156">
        <v>300</v>
      </c>
    </row>
    <row r="28" spans="1:18" ht="10.5" customHeight="1">
      <c r="A28" s="29">
        <v>660</v>
      </c>
      <c r="B28" s="83"/>
      <c r="C28" s="30" t="s">
        <v>157</v>
      </c>
      <c r="D28" s="7"/>
      <c r="E28" s="7"/>
      <c r="F28" s="212">
        <v>81</v>
      </c>
      <c r="G28" s="210">
        <v>550</v>
      </c>
      <c r="H28" s="211">
        <f>F28*G28</f>
        <v>44550</v>
      </c>
      <c r="J28" s="141">
        <v>90</v>
      </c>
      <c r="K28" s="156">
        <f>$R28+60</f>
        <v>760</v>
      </c>
      <c r="L28" s="172">
        <f>J28*K28</f>
        <v>68400</v>
      </c>
      <c r="N28" s="141">
        <v>75</v>
      </c>
      <c r="O28" s="156">
        <f>$R28+60</f>
        <v>760</v>
      </c>
      <c r="P28" s="172">
        <f>N28*O28</f>
        <v>57000</v>
      </c>
      <c r="R28" s="156">
        <v>700</v>
      </c>
    </row>
    <row r="29" spans="1:18" ht="11.25" customHeight="1">
      <c r="A29" s="29">
        <v>670</v>
      </c>
      <c r="B29" s="84"/>
      <c r="C29" s="30" t="s">
        <v>258</v>
      </c>
      <c r="D29" s="7"/>
      <c r="E29" s="7"/>
      <c r="F29" s="217">
        <v>14</v>
      </c>
      <c r="G29" s="210">
        <v>650</v>
      </c>
      <c r="H29" s="211">
        <f>F29*G29</f>
        <v>9100</v>
      </c>
      <c r="J29" s="140">
        <v>14</v>
      </c>
      <c r="K29" s="156">
        <f>$R29+60</f>
        <v>860</v>
      </c>
      <c r="L29" s="172">
        <f>J29*K29</f>
        <v>12040</v>
      </c>
      <c r="N29" s="140">
        <v>10</v>
      </c>
      <c r="O29" s="156">
        <f>$R29+60</f>
        <v>860</v>
      </c>
      <c r="P29" s="172">
        <f>N29*O29</f>
        <v>8600</v>
      </c>
      <c r="R29" s="156">
        <v>800</v>
      </c>
    </row>
    <row r="30" spans="1:18" ht="11.25" customHeight="1">
      <c r="A30" s="29">
        <v>680</v>
      </c>
      <c r="B30" s="85"/>
      <c r="C30" s="30" t="s">
        <v>216</v>
      </c>
      <c r="D30" s="7"/>
      <c r="E30" s="7"/>
      <c r="F30" s="212">
        <f>SUM(F31:F32)</f>
        <v>56</v>
      </c>
      <c r="G30" s="213"/>
      <c r="H30" s="211">
        <f>SUM(H31:H33)</f>
        <v>15850</v>
      </c>
      <c r="J30" s="141">
        <f>SUM(J31:J32)</f>
        <v>61</v>
      </c>
      <c r="K30" s="156"/>
      <c r="L30" s="172">
        <f>SUM(L31:L33)</f>
        <v>23740</v>
      </c>
      <c r="N30" s="141">
        <f>SUM(N31:N32)</f>
        <v>51</v>
      </c>
      <c r="O30" s="156"/>
      <c r="P30" s="172">
        <f>SUM(P31:P33)</f>
        <v>19940</v>
      </c>
      <c r="R30" s="156"/>
    </row>
    <row r="31" spans="1:18" ht="11.25" customHeight="1">
      <c r="A31" s="7">
        <v>683</v>
      </c>
      <c r="B31" s="7"/>
      <c r="C31" s="7"/>
      <c r="D31" s="6" t="s">
        <v>32</v>
      </c>
      <c r="E31" s="81"/>
      <c r="F31" s="214">
        <v>6</v>
      </c>
      <c r="G31" s="215">
        <v>275</v>
      </c>
      <c r="H31" s="216">
        <f>G31*F31</f>
        <v>1650</v>
      </c>
      <c r="J31" s="142">
        <v>6</v>
      </c>
      <c r="K31" s="156">
        <f>$R31+30</f>
        <v>380</v>
      </c>
      <c r="L31" s="173">
        <f>K31*J31</f>
        <v>2280</v>
      </c>
      <c r="N31" s="142">
        <v>6</v>
      </c>
      <c r="O31" s="156">
        <f>$R31+30</f>
        <v>380</v>
      </c>
      <c r="P31" s="173">
        <f>O31*N31</f>
        <v>2280</v>
      </c>
      <c r="R31" s="156">
        <v>350</v>
      </c>
    </row>
    <row r="32" spans="1:18" ht="11.25" customHeight="1">
      <c r="A32" s="7">
        <v>684</v>
      </c>
      <c r="B32" s="7"/>
      <c r="C32" s="7"/>
      <c r="D32" s="6" t="s">
        <v>33</v>
      </c>
      <c r="E32" s="82"/>
      <c r="F32" s="214">
        <v>50</v>
      </c>
      <c r="G32" s="215">
        <v>275</v>
      </c>
      <c r="H32" s="216">
        <f>G32*F32</f>
        <v>13750</v>
      </c>
      <c r="J32" s="142">
        <v>55</v>
      </c>
      <c r="K32" s="156">
        <f>$R32+30</f>
        <v>380</v>
      </c>
      <c r="L32" s="173">
        <f>K32*J32</f>
        <v>20900</v>
      </c>
      <c r="N32" s="142">
        <v>45</v>
      </c>
      <c r="O32" s="156">
        <f>$R32+30</f>
        <v>380</v>
      </c>
      <c r="P32" s="173">
        <f>O32*N32</f>
        <v>17100</v>
      </c>
      <c r="R32" s="156">
        <v>350</v>
      </c>
    </row>
    <row r="33" spans="1:18" ht="11.25" customHeight="1">
      <c r="A33" s="7"/>
      <c r="B33" s="7"/>
      <c r="C33" s="7"/>
      <c r="D33" s="6" t="s">
        <v>200</v>
      </c>
      <c r="E33" s="143"/>
      <c r="F33" s="214">
        <v>2</v>
      </c>
      <c r="G33" s="215">
        <v>225</v>
      </c>
      <c r="H33" s="216">
        <f>G33*F33</f>
        <v>450</v>
      </c>
      <c r="J33" s="142">
        <v>2</v>
      </c>
      <c r="K33" s="156">
        <f>$R33+30</f>
        <v>280</v>
      </c>
      <c r="L33" s="173">
        <f>K33*J33</f>
        <v>560</v>
      </c>
      <c r="N33" s="142">
        <v>2</v>
      </c>
      <c r="O33" s="156">
        <f>$R33+30</f>
        <v>280</v>
      </c>
      <c r="P33" s="173">
        <f>O33*N33</f>
        <v>560</v>
      </c>
      <c r="R33" s="156">
        <v>250</v>
      </c>
    </row>
    <row r="34" spans="1:16" ht="11.25" customHeight="1">
      <c r="A34" s="7"/>
      <c r="B34" s="7"/>
      <c r="C34" s="7"/>
      <c r="D34" s="6"/>
      <c r="E34" s="143"/>
      <c r="F34" s="214"/>
      <c r="G34" s="215"/>
      <c r="H34" s="216"/>
      <c r="J34" s="142"/>
      <c r="K34" s="158"/>
      <c r="L34" s="173"/>
      <c r="N34" s="142"/>
      <c r="O34" s="158"/>
      <c r="P34" s="173"/>
    </row>
    <row r="35" spans="1:16" ht="11.25" customHeight="1">
      <c r="A35" s="7"/>
      <c r="B35" s="7" t="s">
        <v>265</v>
      </c>
      <c r="C35" s="7"/>
      <c r="D35" s="6"/>
      <c r="E35" s="143"/>
      <c r="F35" s="214">
        <v>17</v>
      </c>
      <c r="G35" s="215">
        <v>0</v>
      </c>
      <c r="H35" s="216">
        <v>0</v>
      </c>
      <c r="J35" s="142">
        <v>17</v>
      </c>
      <c r="K35" s="158">
        <v>0</v>
      </c>
      <c r="L35" s="173">
        <v>0</v>
      </c>
      <c r="N35" s="142">
        <v>17</v>
      </c>
      <c r="O35" s="158">
        <v>0</v>
      </c>
      <c r="P35" s="173">
        <v>0</v>
      </c>
    </row>
    <row r="36" spans="1:16" ht="11.25" customHeight="1">
      <c r="A36" s="7"/>
      <c r="B36" s="7"/>
      <c r="C36" s="7"/>
      <c r="D36" s="6"/>
      <c r="E36" s="143"/>
      <c r="F36" s="214"/>
      <c r="G36" s="215"/>
      <c r="H36" s="216"/>
      <c r="J36" s="142"/>
      <c r="K36" s="158"/>
      <c r="L36" s="173"/>
      <c r="N36" s="142"/>
      <c r="O36" s="158"/>
      <c r="P36" s="173"/>
    </row>
    <row r="37" spans="1:16" ht="11.25" customHeight="1">
      <c r="A37" s="7"/>
      <c r="B37" s="29" t="s">
        <v>36</v>
      </c>
      <c r="C37" s="30"/>
      <c r="D37" s="30"/>
      <c r="E37" s="144"/>
      <c r="F37" s="218">
        <f>SUM(F38:F49)</f>
        <v>355</v>
      </c>
      <c r="G37" s="219"/>
      <c r="H37" s="220">
        <f>SUM(H38:H49)</f>
        <v>16240</v>
      </c>
      <c r="J37" s="146">
        <f>SUM(J38:J49)</f>
        <v>390.5</v>
      </c>
      <c r="K37" s="159"/>
      <c r="L37" s="174">
        <f>SUM(L38:L49)</f>
        <v>28930</v>
      </c>
      <c r="N37" s="146">
        <f>SUM(N38:N49)</f>
        <v>316</v>
      </c>
      <c r="O37" s="159"/>
      <c r="P37" s="174">
        <f>SUM(P38:P49)</f>
        <v>23200</v>
      </c>
    </row>
    <row r="38" spans="1:16" ht="11.25" customHeight="1">
      <c r="A38" s="7"/>
      <c r="B38" s="7"/>
      <c r="C38" s="7" t="s">
        <v>37</v>
      </c>
      <c r="D38" s="6"/>
      <c r="E38" s="143"/>
      <c r="F38" s="221">
        <v>66</v>
      </c>
      <c r="G38" s="213">
        <v>60</v>
      </c>
      <c r="H38" s="222">
        <f>F38*G38</f>
        <v>3960</v>
      </c>
      <c r="J38" s="147">
        <f>F38*1.1</f>
        <v>72.60000000000001</v>
      </c>
      <c r="K38" s="157">
        <v>100</v>
      </c>
      <c r="L38" s="175">
        <f>J38*K38</f>
        <v>7260.000000000001</v>
      </c>
      <c r="N38" s="147">
        <v>55</v>
      </c>
      <c r="O38" s="157">
        <v>100</v>
      </c>
      <c r="P38" s="175">
        <f>N38*O38</f>
        <v>5500</v>
      </c>
    </row>
    <row r="39" spans="1:16" ht="11.25" customHeight="1">
      <c r="A39" s="7"/>
      <c r="B39" s="7"/>
      <c r="C39" s="7" t="s">
        <v>38</v>
      </c>
      <c r="D39" s="6"/>
      <c r="E39" s="143"/>
      <c r="F39" s="221">
        <v>19</v>
      </c>
      <c r="G39" s="213">
        <v>80</v>
      </c>
      <c r="H39" s="222">
        <f aca="true" t="shared" si="0" ref="H39:H49">F39*G39</f>
        <v>1520</v>
      </c>
      <c r="J39" s="147">
        <f aca="true" t="shared" si="1" ref="J39:J49">F39*1.1</f>
        <v>20.900000000000002</v>
      </c>
      <c r="K39" s="157">
        <v>120</v>
      </c>
      <c r="L39" s="175">
        <f aca="true" t="shared" si="2" ref="L39:L49">J39*K39</f>
        <v>2508.0000000000005</v>
      </c>
      <c r="N39" s="147">
        <v>15</v>
      </c>
      <c r="O39" s="157">
        <v>120</v>
      </c>
      <c r="P39" s="175">
        <f aca="true" t="shared" si="3" ref="P39:P49">N39*O39</f>
        <v>1800</v>
      </c>
    </row>
    <row r="40" spans="1:16" ht="11.25" customHeight="1">
      <c r="A40" s="7"/>
      <c r="B40" s="7"/>
      <c r="C40" s="7" t="s">
        <v>14</v>
      </c>
      <c r="D40" s="6"/>
      <c r="E40" s="143"/>
      <c r="F40" s="221">
        <v>94</v>
      </c>
      <c r="G40" s="213">
        <v>40</v>
      </c>
      <c r="H40" s="222">
        <f t="shared" si="0"/>
        <v>3760</v>
      </c>
      <c r="J40" s="147">
        <f t="shared" si="1"/>
        <v>103.4</v>
      </c>
      <c r="K40" s="157">
        <v>50</v>
      </c>
      <c r="L40" s="175">
        <f t="shared" si="2"/>
        <v>5170</v>
      </c>
      <c r="N40" s="147">
        <v>90</v>
      </c>
      <c r="O40" s="157">
        <v>50</v>
      </c>
      <c r="P40" s="175">
        <f t="shared" si="3"/>
        <v>4500</v>
      </c>
    </row>
    <row r="41" spans="1:16" ht="11.25" customHeight="1">
      <c r="A41" s="7"/>
      <c r="B41" s="7"/>
      <c r="C41" s="7" t="s">
        <v>15</v>
      </c>
      <c r="D41" s="6"/>
      <c r="E41" s="143"/>
      <c r="F41" s="221">
        <v>37</v>
      </c>
      <c r="G41" s="213">
        <v>30</v>
      </c>
      <c r="H41" s="222">
        <f t="shared" si="0"/>
        <v>1110</v>
      </c>
      <c r="J41" s="147">
        <f t="shared" si="1"/>
        <v>40.7</v>
      </c>
      <c r="K41" s="157">
        <v>80</v>
      </c>
      <c r="L41" s="175">
        <f t="shared" si="2"/>
        <v>3256</v>
      </c>
      <c r="N41" s="147">
        <v>33</v>
      </c>
      <c r="O41" s="157">
        <v>80</v>
      </c>
      <c r="P41" s="175">
        <f t="shared" si="3"/>
        <v>2640</v>
      </c>
    </row>
    <row r="42" spans="1:16" ht="11.25" customHeight="1">
      <c r="A42" s="7"/>
      <c r="B42" s="7"/>
      <c r="C42" s="7" t="s">
        <v>16</v>
      </c>
      <c r="D42" s="6"/>
      <c r="E42" s="143"/>
      <c r="F42" s="221">
        <v>10</v>
      </c>
      <c r="G42" s="213">
        <v>40</v>
      </c>
      <c r="H42" s="222">
        <f t="shared" si="0"/>
        <v>400</v>
      </c>
      <c r="J42" s="147">
        <f t="shared" si="1"/>
        <v>11</v>
      </c>
      <c r="K42" s="157">
        <v>100</v>
      </c>
      <c r="L42" s="175">
        <f t="shared" si="2"/>
        <v>1100</v>
      </c>
      <c r="N42" s="147">
        <v>10</v>
      </c>
      <c r="O42" s="157">
        <v>100</v>
      </c>
      <c r="P42" s="175">
        <f t="shared" si="3"/>
        <v>1000</v>
      </c>
    </row>
    <row r="43" spans="1:16" ht="11.25" customHeight="1">
      <c r="A43" s="7"/>
      <c r="B43" s="7"/>
      <c r="C43" s="7" t="s">
        <v>17</v>
      </c>
      <c r="D43" s="6"/>
      <c r="E43" s="143"/>
      <c r="F43" s="221">
        <v>54</v>
      </c>
      <c r="G43" s="213">
        <v>20</v>
      </c>
      <c r="H43" s="222">
        <f t="shared" si="0"/>
        <v>1080</v>
      </c>
      <c r="J43" s="147">
        <f t="shared" si="1"/>
        <v>59.400000000000006</v>
      </c>
      <c r="K43" s="157">
        <v>40</v>
      </c>
      <c r="L43" s="175">
        <f t="shared" si="2"/>
        <v>2376</v>
      </c>
      <c r="N43" s="147">
        <v>50</v>
      </c>
      <c r="O43" s="157">
        <v>40</v>
      </c>
      <c r="P43" s="175">
        <f t="shared" si="3"/>
        <v>2000</v>
      </c>
    </row>
    <row r="44" spans="1:16" ht="11.25" customHeight="1">
      <c r="A44" s="7"/>
      <c r="B44" s="7"/>
      <c r="C44" s="7" t="s">
        <v>18</v>
      </c>
      <c r="D44" s="6"/>
      <c r="E44" s="143"/>
      <c r="F44" s="221">
        <v>12</v>
      </c>
      <c r="G44" s="213">
        <v>80</v>
      </c>
      <c r="H44" s="222">
        <f t="shared" si="0"/>
        <v>960</v>
      </c>
      <c r="J44" s="147">
        <f t="shared" si="1"/>
        <v>13.200000000000001</v>
      </c>
      <c r="K44" s="157">
        <v>120</v>
      </c>
      <c r="L44" s="175">
        <f t="shared" si="2"/>
        <v>1584.0000000000002</v>
      </c>
      <c r="N44" s="147">
        <v>10</v>
      </c>
      <c r="O44" s="157">
        <v>120</v>
      </c>
      <c r="P44" s="175">
        <f t="shared" si="3"/>
        <v>1200</v>
      </c>
    </row>
    <row r="45" spans="1:16" ht="11.25" customHeight="1">
      <c r="A45" s="7"/>
      <c r="B45" s="7"/>
      <c r="C45" s="7" t="s">
        <v>19</v>
      </c>
      <c r="D45" s="6"/>
      <c r="E45" s="143"/>
      <c r="F45" s="221">
        <v>8</v>
      </c>
      <c r="G45" s="213">
        <v>100</v>
      </c>
      <c r="H45" s="222">
        <f t="shared" si="0"/>
        <v>800</v>
      </c>
      <c r="J45" s="147">
        <f t="shared" si="1"/>
        <v>8.8</v>
      </c>
      <c r="K45" s="157">
        <v>140</v>
      </c>
      <c r="L45" s="175">
        <f t="shared" si="2"/>
        <v>1232</v>
      </c>
      <c r="N45" s="147">
        <v>8</v>
      </c>
      <c r="O45" s="157">
        <v>140</v>
      </c>
      <c r="P45" s="175">
        <f t="shared" si="3"/>
        <v>1120</v>
      </c>
    </row>
    <row r="46" spans="1:16" ht="11.25" customHeight="1">
      <c r="A46" s="7"/>
      <c r="B46" s="7"/>
      <c r="C46" s="7" t="s">
        <v>20</v>
      </c>
      <c r="D46" s="6"/>
      <c r="E46" s="143"/>
      <c r="F46" s="221">
        <v>26</v>
      </c>
      <c r="G46" s="213">
        <v>60</v>
      </c>
      <c r="H46" s="222">
        <f t="shared" si="0"/>
        <v>1560</v>
      </c>
      <c r="J46" s="147">
        <f t="shared" si="1"/>
        <v>28.6</v>
      </c>
      <c r="K46" s="157">
        <v>60</v>
      </c>
      <c r="L46" s="175">
        <f t="shared" si="2"/>
        <v>1716</v>
      </c>
      <c r="N46" s="147">
        <v>20</v>
      </c>
      <c r="O46" s="157">
        <v>60</v>
      </c>
      <c r="P46" s="175">
        <f t="shared" si="3"/>
        <v>1200</v>
      </c>
    </row>
    <row r="47" spans="1:16" ht="11.25" customHeight="1">
      <c r="A47" s="7"/>
      <c r="B47" s="7"/>
      <c r="C47" s="7" t="s">
        <v>21</v>
      </c>
      <c r="D47" s="6"/>
      <c r="E47" s="143"/>
      <c r="F47" s="221">
        <v>8</v>
      </c>
      <c r="G47" s="213">
        <v>40</v>
      </c>
      <c r="H47" s="222">
        <f t="shared" si="0"/>
        <v>320</v>
      </c>
      <c r="J47" s="147">
        <f t="shared" si="1"/>
        <v>8.8</v>
      </c>
      <c r="K47" s="157">
        <v>100</v>
      </c>
      <c r="L47" s="175">
        <f t="shared" si="2"/>
        <v>880.0000000000001</v>
      </c>
      <c r="N47" s="147">
        <v>8</v>
      </c>
      <c r="O47" s="157">
        <v>100</v>
      </c>
      <c r="P47" s="175">
        <f t="shared" si="3"/>
        <v>800</v>
      </c>
    </row>
    <row r="48" spans="1:16" ht="11.25" customHeight="1">
      <c r="A48" s="7"/>
      <c r="B48" s="7"/>
      <c r="C48" s="7" t="s">
        <v>103</v>
      </c>
      <c r="D48" s="6"/>
      <c r="E48" s="143"/>
      <c r="F48" s="221">
        <v>7</v>
      </c>
      <c r="G48" s="213">
        <v>50</v>
      </c>
      <c r="H48" s="222">
        <f t="shared" si="0"/>
        <v>350</v>
      </c>
      <c r="J48" s="147">
        <f t="shared" si="1"/>
        <v>7.700000000000001</v>
      </c>
      <c r="K48" s="157">
        <v>120</v>
      </c>
      <c r="L48" s="175">
        <f t="shared" si="2"/>
        <v>924.0000000000001</v>
      </c>
      <c r="N48" s="147">
        <v>7</v>
      </c>
      <c r="O48" s="157">
        <v>120</v>
      </c>
      <c r="P48" s="175">
        <f t="shared" si="3"/>
        <v>840</v>
      </c>
    </row>
    <row r="49" spans="1:16" ht="11.25" customHeight="1">
      <c r="A49" s="7"/>
      <c r="B49" s="7"/>
      <c r="C49" s="7" t="s">
        <v>104</v>
      </c>
      <c r="D49" s="6"/>
      <c r="E49" s="143"/>
      <c r="F49" s="221">
        <v>14</v>
      </c>
      <c r="G49" s="213">
        <v>30</v>
      </c>
      <c r="H49" s="222">
        <f t="shared" si="0"/>
        <v>420</v>
      </c>
      <c r="J49" s="147">
        <f t="shared" si="1"/>
        <v>15.400000000000002</v>
      </c>
      <c r="K49" s="157">
        <v>60</v>
      </c>
      <c r="L49" s="175">
        <f t="shared" si="2"/>
        <v>924.0000000000001</v>
      </c>
      <c r="N49" s="147">
        <v>10</v>
      </c>
      <c r="O49" s="157">
        <v>60</v>
      </c>
      <c r="P49" s="175">
        <f t="shared" si="3"/>
        <v>600</v>
      </c>
    </row>
    <row r="50" spans="1:16" ht="11.25" customHeight="1">
      <c r="A50" s="7"/>
      <c r="B50" s="7"/>
      <c r="C50" s="7"/>
      <c r="D50" s="6"/>
      <c r="E50" s="143"/>
      <c r="F50" s="223"/>
      <c r="G50" s="213"/>
      <c r="H50" s="222"/>
      <c r="J50" s="167"/>
      <c r="K50" s="157"/>
      <c r="L50" s="175"/>
      <c r="N50" s="167"/>
      <c r="O50" s="157"/>
      <c r="P50" s="175"/>
    </row>
    <row r="51" spans="1:16" ht="11.25" customHeight="1">
      <c r="A51" s="7"/>
      <c r="B51" s="7"/>
      <c r="C51" s="7"/>
      <c r="D51" s="6"/>
      <c r="E51" s="143"/>
      <c r="F51" s="223"/>
      <c r="G51" s="213"/>
      <c r="H51" s="222"/>
      <c r="J51" s="167"/>
      <c r="K51" s="157"/>
      <c r="L51" s="175"/>
      <c r="N51" s="167"/>
      <c r="O51" s="157"/>
      <c r="P51" s="175"/>
    </row>
    <row r="52" spans="1:16" ht="11.25" customHeight="1">
      <c r="A52" s="7"/>
      <c r="B52" s="29" t="s">
        <v>302</v>
      </c>
      <c r="C52" s="7"/>
      <c r="D52" s="7"/>
      <c r="E52" s="7"/>
      <c r="F52" s="203"/>
      <c r="G52" s="186"/>
      <c r="H52" s="204">
        <v>400</v>
      </c>
      <c r="J52" s="25"/>
      <c r="K52" s="148"/>
      <c r="L52" s="171">
        <v>0</v>
      </c>
      <c r="N52" s="25"/>
      <c r="O52" s="148"/>
      <c r="P52" s="171">
        <v>0</v>
      </c>
    </row>
    <row r="53" spans="1:16" ht="11.25" customHeight="1">
      <c r="A53" s="7"/>
      <c r="B53" s="7"/>
      <c r="C53" s="7"/>
      <c r="D53" s="7"/>
      <c r="E53" s="7"/>
      <c r="F53" s="203"/>
      <c r="G53" s="186"/>
      <c r="H53" s="204"/>
      <c r="J53" s="25"/>
      <c r="K53" s="148"/>
      <c r="L53" s="171"/>
      <c r="N53" s="25"/>
      <c r="O53" s="148"/>
      <c r="P53" s="171"/>
    </row>
    <row r="54" spans="1:16" ht="11.25" customHeight="1">
      <c r="A54" s="26">
        <v>800</v>
      </c>
      <c r="B54" s="27" t="s">
        <v>172</v>
      </c>
      <c r="C54" s="26"/>
      <c r="D54" s="26"/>
      <c r="E54" s="26"/>
      <c r="F54" s="205"/>
      <c r="G54" s="206"/>
      <c r="H54" s="207">
        <f>SUM(H55:H57)</f>
        <v>2100</v>
      </c>
      <c r="J54" s="28"/>
      <c r="K54" s="154"/>
      <c r="L54" s="170">
        <f>SUM(L55:L57)</f>
        <v>2835</v>
      </c>
      <c r="N54" s="28"/>
      <c r="O54" s="154"/>
      <c r="P54" s="170">
        <f>SUM(P55:P57)</f>
        <v>2835</v>
      </c>
    </row>
    <row r="55" spans="1:16" ht="11.25" customHeight="1">
      <c r="A55" s="7">
        <v>810</v>
      </c>
      <c r="B55" s="88"/>
      <c r="C55" s="6" t="s">
        <v>213</v>
      </c>
      <c r="D55" s="7"/>
      <c r="E55" s="7"/>
      <c r="F55" s="224">
        <v>1</v>
      </c>
      <c r="G55" s="225">
        <v>900</v>
      </c>
      <c r="H55" s="226">
        <f>F55*G55</f>
        <v>900</v>
      </c>
      <c r="J55" s="138">
        <v>1</v>
      </c>
      <c r="K55" s="161">
        <f>G55*($L$8+$L$9)</f>
        <v>1215</v>
      </c>
      <c r="L55" s="176">
        <f>J55*K55</f>
        <v>1215</v>
      </c>
      <c r="N55" s="138">
        <v>1</v>
      </c>
      <c r="O55" s="161">
        <f>$G55*($L$8+$L$9)</f>
        <v>1215</v>
      </c>
      <c r="P55" s="176">
        <f>N55*O55</f>
        <v>1215</v>
      </c>
    </row>
    <row r="56" spans="1:16" ht="11.25" customHeight="1">
      <c r="A56" s="7">
        <v>820</v>
      </c>
      <c r="B56" s="89"/>
      <c r="C56" s="6" t="s">
        <v>94</v>
      </c>
      <c r="D56" s="7"/>
      <c r="E56" s="7"/>
      <c r="F56" s="224">
        <v>1</v>
      </c>
      <c r="G56" s="225">
        <v>700</v>
      </c>
      <c r="H56" s="226">
        <f>F56*G56</f>
        <v>700</v>
      </c>
      <c r="J56" s="138">
        <v>1</v>
      </c>
      <c r="K56" s="161">
        <f>G56*($L$8+$L$9)</f>
        <v>945.0000000000001</v>
      </c>
      <c r="L56" s="176">
        <f>J56*K56</f>
        <v>945.0000000000001</v>
      </c>
      <c r="N56" s="138">
        <v>1</v>
      </c>
      <c r="O56" s="161">
        <f>$G56*($L$8+$L$9)</f>
        <v>945.0000000000001</v>
      </c>
      <c r="P56" s="176">
        <f>N56*O56</f>
        <v>945.0000000000001</v>
      </c>
    </row>
    <row r="57" spans="1:16" ht="11.25" customHeight="1">
      <c r="A57" s="7">
        <v>840</v>
      </c>
      <c r="B57" s="90"/>
      <c r="C57" s="6" t="s">
        <v>212</v>
      </c>
      <c r="D57" s="7"/>
      <c r="E57" s="7"/>
      <c r="F57" s="224">
        <v>1</v>
      </c>
      <c r="G57" s="225">
        <v>500</v>
      </c>
      <c r="H57" s="226">
        <f>F57*G57</f>
        <v>500</v>
      </c>
      <c r="J57" s="138">
        <v>1</v>
      </c>
      <c r="K57" s="161">
        <f>G57*($L$8+$L$9)</f>
        <v>675</v>
      </c>
      <c r="L57" s="176">
        <f>J57*K57</f>
        <v>675</v>
      </c>
      <c r="N57" s="138">
        <v>1</v>
      </c>
      <c r="O57" s="161">
        <f>$G57*($L$8+$L$9)</f>
        <v>675</v>
      </c>
      <c r="P57" s="176">
        <f>N57*O57</f>
        <v>675</v>
      </c>
    </row>
    <row r="58" spans="1:16" ht="11.25" customHeight="1">
      <c r="A58" s="7"/>
      <c r="B58" s="7"/>
      <c r="C58" s="7"/>
      <c r="D58" s="7"/>
      <c r="E58" s="7"/>
      <c r="F58" s="203"/>
      <c r="G58" s="186"/>
      <c r="H58" s="204"/>
      <c r="J58" s="25"/>
      <c r="K58" s="148"/>
      <c r="L58" s="171"/>
      <c r="N58" s="25"/>
      <c r="O58" s="148"/>
      <c r="P58" s="171"/>
    </row>
    <row r="59" spans="1:16" ht="11.25" customHeight="1">
      <c r="A59" s="26">
        <v>900</v>
      </c>
      <c r="B59" s="27" t="s">
        <v>176</v>
      </c>
      <c r="C59" s="26"/>
      <c r="D59" s="26"/>
      <c r="E59" s="26"/>
      <c r="F59" s="205"/>
      <c r="G59" s="206"/>
      <c r="H59" s="207">
        <f>SUM(H61:H62)</f>
        <v>6280</v>
      </c>
      <c r="J59" s="28"/>
      <c r="K59" s="154"/>
      <c r="L59" s="170">
        <f>SUM(L61:L62)</f>
        <v>9306</v>
      </c>
      <c r="N59" s="28"/>
      <c r="O59" s="154"/>
      <c r="P59" s="170">
        <f>SUM(P61:P62)</f>
        <v>6920</v>
      </c>
    </row>
    <row r="60" spans="1:16" ht="11.25" customHeight="1">
      <c r="A60" s="7"/>
      <c r="B60" s="7"/>
      <c r="C60" s="7"/>
      <c r="D60" s="7"/>
      <c r="E60" s="7"/>
      <c r="F60" s="203"/>
      <c r="G60" s="186"/>
      <c r="H60" s="204"/>
      <c r="J60" s="25"/>
      <c r="K60" s="148"/>
      <c r="L60" s="171"/>
      <c r="N60" s="25"/>
      <c r="O60" s="148"/>
      <c r="P60" s="171"/>
    </row>
    <row r="61" spans="1:16" ht="11.25" customHeight="1">
      <c r="A61" s="7">
        <v>910</v>
      </c>
      <c r="B61" s="91"/>
      <c r="C61" s="6" t="s">
        <v>72</v>
      </c>
      <c r="D61" s="32"/>
      <c r="E61" s="32"/>
      <c r="F61" s="203">
        <v>88</v>
      </c>
      <c r="G61" s="186">
        <v>25</v>
      </c>
      <c r="H61" s="204">
        <f>G61*F61</f>
        <v>2200</v>
      </c>
      <c r="J61" s="25">
        <v>88</v>
      </c>
      <c r="K61" s="161">
        <v>42</v>
      </c>
      <c r="L61" s="171">
        <f>K61*J61</f>
        <v>3696</v>
      </c>
      <c r="N61" s="25">
        <v>60</v>
      </c>
      <c r="O61" s="161">
        <v>42</v>
      </c>
      <c r="P61" s="171">
        <f>O61*N61</f>
        <v>2520</v>
      </c>
    </row>
    <row r="62" spans="1:16" ht="11.25" customHeight="1">
      <c r="A62" s="7">
        <v>920</v>
      </c>
      <c r="B62" s="71"/>
      <c r="C62" s="6" t="s">
        <v>166</v>
      </c>
      <c r="D62" s="32"/>
      <c r="E62" s="32"/>
      <c r="F62" s="203">
        <v>51</v>
      </c>
      <c r="G62" s="186">
        <v>80</v>
      </c>
      <c r="H62" s="204">
        <f>G62*F62</f>
        <v>4080</v>
      </c>
      <c r="J62" s="25">
        <v>51</v>
      </c>
      <c r="K62" s="161">
        <v>110</v>
      </c>
      <c r="L62" s="171">
        <f>K62*J62</f>
        <v>5610</v>
      </c>
      <c r="N62" s="25">
        <v>40</v>
      </c>
      <c r="O62" s="161">
        <v>110</v>
      </c>
      <c r="P62" s="171">
        <f>O62*N62</f>
        <v>4400</v>
      </c>
    </row>
    <row r="63" spans="1:16" ht="11.25" customHeight="1">
      <c r="A63" s="7"/>
      <c r="B63" s="7"/>
      <c r="C63" s="7"/>
      <c r="D63" s="7"/>
      <c r="E63" s="7"/>
      <c r="F63" s="203"/>
      <c r="G63" s="186"/>
      <c r="H63" s="204"/>
      <c r="J63" s="25"/>
      <c r="K63" s="148"/>
      <c r="L63" s="171"/>
      <c r="N63" s="25"/>
      <c r="O63" s="148"/>
      <c r="P63" s="171"/>
    </row>
    <row r="64" spans="1:16" ht="11.25" customHeight="1">
      <c r="A64" s="26">
        <v>1000</v>
      </c>
      <c r="B64" s="27" t="s">
        <v>41</v>
      </c>
      <c r="C64" s="26"/>
      <c r="D64" s="26"/>
      <c r="E64" s="26"/>
      <c r="F64" s="205"/>
      <c r="G64" s="206"/>
      <c r="H64" s="207">
        <f>SUM(H66:H68)</f>
        <v>61940</v>
      </c>
      <c r="J64" s="28"/>
      <c r="K64" s="154"/>
      <c r="L64" s="170">
        <f>SUM(L66:L68)</f>
        <v>35594</v>
      </c>
      <c r="N64" s="28"/>
      <c r="O64" s="154"/>
      <c r="P64" s="170">
        <f>SUM(P66:P68)</f>
        <v>35000</v>
      </c>
    </row>
    <row r="65" spans="1:16" ht="11.25" customHeight="1">
      <c r="A65" s="7"/>
      <c r="B65" s="7"/>
      <c r="C65" s="7"/>
      <c r="D65" s="7"/>
      <c r="E65" s="7"/>
      <c r="F65" s="203"/>
      <c r="G65" s="186"/>
      <c r="H65" s="204"/>
      <c r="J65" s="25"/>
      <c r="K65" s="148"/>
      <c r="L65" s="171"/>
      <c r="N65" s="25"/>
      <c r="O65" s="148"/>
      <c r="P65" s="171"/>
    </row>
    <row r="66" spans="1:16" ht="11.25" customHeight="1">
      <c r="A66" s="7">
        <v>1031</v>
      </c>
      <c r="B66" s="75"/>
      <c r="C66" s="6" t="s">
        <v>228</v>
      </c>
      <c r="D66" s="32"/>
      <c r="E66" s="32"/>
      <c r="F66" s="203">
        <v>27</v>
      </c>
      <c r="G66" s="186">
        <v>10</v>
      </c>
      <c r="H66" s="204">
        <f>F66*G66</f>
        <v>270</v>
      </c>
      <c r="J66" s="25">
        <v>27</v>
      </c>
      <c r="K66" s="161">
        <f>G66*($L$8+$L$9)</f>
        <v>13.5</v>
      </c>
      <c r="L66" s="171">
        <f>J66*K66</f>
        <v>364.5</v>
      </c>
      <c r="N66" s="25">
        <v>0</v>
      </c>
      <c r="O66" s="161">
        <f>$G66*($L$8+$L$9)</f>
        <v>13.5</v>
      </c>
      <c r="P66" s="171">
        <f>N66*O66</f>
        <v>0</v>
      </c>
    </row>
    <row r="67" spans="1:16" ht="11.25" customHeight="1">
      <c r="A67" s="7">
        <v>1050</v>
      </c>
      <c r="B67" s="86"/>
      <c r="C67" s="6" t="s">
        <v>229</v>
      </c>
      <c r="D67" s="32"/>
      <c r="E67" s="32"/>
      <c r="F67" s="203">
        <v>17</v>
      </c>
      <c r="G67" s="186">
        <v>10</v>
      </c>
      <c r="H67" s="204">
        <f>F67*G67</f>
        <v>170</v>
      </c>
      <c r="J67" s="25">
        <v>17</v>
      </c>
      <c r="K67" s="161">
        <f>G67*($L$8+$L$9)</f>
        <v>13.5</v>
      </c>
      <c r="L67" s="171">
        <f>J67*K67</f>
        <v>229.5</v>
      </c>
      <c r="N67" s="25">
        <v>0</v>
      </c>
      <c r="O67" s="161">
        <f>$G67*($L$8+$L$9)</f>
        <v>13.5</v>
      </c>
      <c r="P67" s="171">
        <f>N67*O67</f>
        <v>0</v>
      </c>
    </row>
    <row r="68" spans="1:17" ht="11.25" customHeight="1">
      <c r="A68" s="7">
        <v>1099</v>
      </c>
      <c r="B68" s="94"/>
      <c r="C68" s="6" t="s">
        <v>235</v>
      </c>
      <c r="D68" s="95"/>
      <c r="E68" s="32" t="s">
        <v>236</v>
      </c>
      <c r="F68" s="203"/>
      <c r="G68" s="186"/>
      <c r="H68" s="204">
        <v>61500</v>
      </c>
      <c r="J68" s="25"/>
      <c r="K68" s="148"/>
      <c r="L68" s="171">
        <v>35000</v>
      </c>
      <c r="N68" s="25"/>
      <c r="O68" s="148"/>
      <c r="P68" s="171">
        <v>35000</v>
      </c>
      <c r="Q68" t="s">
        <v>317</v>
      </c>
    </row>
    <row r="69" spans="1:16" ht="11.25" customHeight="1">
      <c r="A69" s="7"/>
      <c r="B69" s="7"/>
      <c r="C69" s="7"/>
      <c r="D69" s="7"/>
      <c r="E69" s="7"/>
      <c r="F69" s="203"/>
      <c r="G69" s="186"/>
      <c r="H69" s="204"/>
      <c r="J69" s="25"/>
      <c r="K69" s="148"/>
      <c r="L69" s="171"/>
      <c r="N69" s="25"/>
      <c r="O69" s="148"/>
      <c r="P69" s="171"/>
    </row>
    <row r="70" spans="1:16" ht="11.25" customHeight="1">
      <c r="A70" s="7"/>
      <c r="B70" s="7"/>
      <c r="C70" s="7"/>
      <c r="D70" s="7"/>
      <c r="E70" s="7"/>
      <c r="F70" s="203"/>
      <c r="G70" s="186"/>
      <c r="H70" s="204"/>
      <c r="J70" s="25"/>
      <c r="K70" s="148"/>
      <c r="L70" s="171"/>
      <c r="N70" s="25"/>
      <c r="O70" s="148"/>
      <c r="P70" s="171"/>
    </row>
    <row r="71" spans="1:16" ht="11.25" customHeight="1">
      <c r="A71" s="26">
        <v>1200</v>
      </c>
      <c r="B71" s="27" t="s">
        <v>264</v>
      </c>
      <c r="C71" s="26"/>
      <c r="D71" s="26"/>
      <c r="E71" s="26"/>
      <c r="F71" s="205"/>
      <c r="G71" s="206"/>
      <c r="H71" s="207">
        <f>35000</f>
        <v>35000</v>
      </c>
      <c r="J71" s="28"/>
      <c r="K71" s="154"/>
      <c r="L71" s="170">
        <v>40000</v>
      </c>
      <c r="N71" s="28"/>
      <c r="O71" s="154"/>
      <c r="P71" s="170">
        <v>40000</v>
      </c>
    </row>
    <row r="72" spans="1:16" ht="11.25" customHeight="1">
      <c r="A72" s="7"/>
      <c r="B72" s="7" t="s">
        <v>322</v>
      </c>
      <c r="C72" s="7"/>
      <c r="D72" s="7"/>
      <c r="E72" s="7"/>
      <c r="F72" s="203"/>
      <c r="G72" s="186"/>
      <c r="H72" s="204"/>
      <c r="J72" s="25"/>
      <c r="K72" s="148"/>
      <c r="L72" s="171"/>
      <c r="N72" s="25"/>
      <c r="O72" s="148"/>
      <c r="P72" s="171"/>
    </row>
    <row r="73" spans="1:16" ht="11.25" customHeight="1">
      <c r="A73" s="26">
        <v>2000</v>
      </c>
      <c r="B73" s="27" t="s">
        <v>237</v>
      </c>
      <c r="C73" s="26"/>
      <c r="D73" s="26"/>
      <c r="E73" s="26"/>
      <c r="F73" s="205"/>
      <c r="G73" s="206"/>
      <c r="H73" s="207">
        <f>SUM(H75,H85,H92,H114,H133)</f>
        <v>321916.51</v>
      </c>
      <c r="J73" s="28"/>
      <c r="K73" s="154"/>
      <c r="L73" s="170">
        <f>SUM(L75,L85,L92,L112,L114,L133)</f>
        <v>497217.473</v>
      </c>
      <c r="N73" s="28"/>
      <c r="O73" s="154"/>
      <c r="P73" s="170">
        <f>SUM(P75,P85,P92,P112,P114,P133)</f>
        <v>452148.073</v>
      </c>
    </row>
    <row r="74" spans="1:16" ht="11.25" customHeight="1">
      <c r="A74" s="7"/>
      <c r="B74" s="7"/>
      <c r="C74" s="7"/>
      <c r="D74" s="7"/>
      <c r="E74" s="7"/>
      <c r="F74" s="203"/>
      <c r="G74" s="186"/>
      <c r="H74" s="204"/>
      <c r="J74" s="25"/>
      <c r="K74" s="148"/>
      <c r="L74" s="171"/>
      <c r="N74" s="25"/>
      <c r="O74" s="148"/>
      <c r="P74" s="171"/>
    </row>
    <row r="75" spans="1:16" ht="11.25" customHeight="1">
      <c r="A75" s="26">
        <v>1400</v>
      </c>
      <c r="B75" s="27" t="s">
        <v>238</v>
      </c>
      <c r="C75" s="26"/>
      <c r="D75" s="26"/>
      <c r="E75" s="26"/>
      <c r="F75" s="205"/>
      <c r="G75" s="206"/>
      <c r="H75" s="207">
        <f>SUM(H78:H83)</f>
        <v>8205</v>
      </c>
      <c r="J75" s="28"/>
      <c r="K75" s="154"/>
      <c r="L75" s="170">
        <f>SUM(L78:L83)</f>
        <v>11076.75</v>
      </c>
      <c r="N75" s="28"/>
      <c r="O75" s="154"/>
      <c r="P75" s="170">
        <f>SUM(P78:P83)</f>
        <v>11076.75</v>
      </c>
    </row>
    <row r="76" spans="1:16" ht="11.25" customHeight="1">
      <c r="A76" s="7"/>
      <c r="B76" s="7"/>
      <c r="C76" s="7"/>
      <c r="D76" s="7"/>
      <c r="E76" s="7"/>
      <c r="F76" s="203"/>
      <c r="G76" s="186"/>
      <c r="H76" s="204"/>
      <c r="J76" s="25"/>
      <c r="K76" s="148"/>
      <c r="L76" s="171"/>
      <c r="N76" s="25"/>
      <c r="O76" s="148"/>
      <c r="P76" s="171"/>
    </row>
    <row r="77" spans="1:16" ht="11.25" customHeight="1">
      <c r="A77" s="7"/>
      <c r="B77" s="7"/>
      <c r="C77" s="7" t="s">
        <v>260</v>
      </c>
      <c r="D77" s="7"/>
      <c r="E77" s="7"/>
      <c r="F77" s="203"/>
      <c r="G77" s="186"/>
      <c r="H77" s="204">
        <v>1188.13</v>
      </c>
      <c r="J77" s="25"/>
      <c r="K77" s="148"/>
      <c r="L77" s="171">
        <f>H77*($L$8+$L$9)</f>
        <v>1603.9755000000002</v>
      </c>
      <c r="N77" s="25"/>
      <c r="O77" s="148"/>
      <c r="P77" s="171">
        <f>L77</f>
        <v>1603.9755000000002</v>
      </c>
    </row>
    <row r="78" spans="1:16" ht="11.25" customHeight="1">
      <c r="A78" s="7">
        <v>1410</v>
      </c>
      <c r="B78" s="93"/>
      <c r="C78" s="6" t="s">
        <v>135</v>
      </c>
      <c r="D78" s="7"/>
      <c r="E78" s="7"/>
      <c r="F78" s="203"/>
      <c r="G78" s="186"/>
      <c r="H78" s="204">
        <v>1000</v>
      </c>
      <c r="J78" s="25"/>
      <c r="K78" s="148"/>
      <c r="L78" s="171">
        <f aca="true" t="shared" si="4" ref="L78:L83">H78*($L$8+$L$9)</f>
        <v>1350</v>
      </c>
      <c r="N78" s="25"/>
      <c r="O78" s="148"/>
      <c r="P78" s="171">
        <f aca="true" t="shared" si="5" ref="P78:P83">L78</f>
        <v>1350</v>
      </c>
    </row>
    <row r="79" spans="1:16" ht="11.25" customHeight="1">
      <c r="A79" s="7">
        <v>1420</v>
      </c>
      <c r="B79" s="97"/>
      <c r="C79" s="6" t="s">
        <v>71</v>
      </c>
      <c r="D79" s="7"/>
      <c r="E79" s="7"/>
      <c r="F79" s="203"/>
      <c r="G79" s="186"/>
      <c r="H79" s="204">
        <v>2500</v>
      </c>
      <c r="J79" s="25"/>
      <c r="K79" s="148"/>
      <c r="L79" s="171">
        <f t="shared" si="4"/>
        <v>3375</v>
      </c>
      <c r="N79" s="25"/>
      <c r="O79" s="148"/>
      <c r="P79" s="171">
        <f t="shared" si="5"/>
        <v>3375</v>
      </c>
    </row>
    <row r="80" spans="1:16" ht="11.25" customHeight="1">
      <c r="A80" s="7">
        <v>1430</v>
      </c>
      <c r="B80" s="98"/>
      <c r="C80" s="6" t="s">
        <v>239</v>
      </c>
      <c r="D80" s="7"/>
      <c r="E80" s="7"/>
      <c r="F80" s="203">
        <v>1000</v>
      </c>
      <c r="G80" s="186"/>
      <c r="H80" s="204">
        <v>3305</v>
      </c>
      <c r="J80" s="25">
        <v>1000</v>
      </c>
      <c r="K80" s="148"/>
      <c r="L80" s="171">
        <f t="shared" si="4"/>
        <v>4461.75</v>
      </c>
      <c r="N80" s="25">
        <v>1000</v>
      </c>
      <c r="O80" s="148"/>
      <c r="P80" s="171">
        <f t="shared" si="5"/>
        <v>4461.75</v>
      </c>
    </row>
    <row r="81" spans="1:16" ht="11.25" customHeight="1">
      <c r="A81" s="7">
        <v>1440</v>
      </c>
      <c r="B81" s="99"/>
      <c r="C81" s="6" t="s">
        <v>240</v>
      </c>
      <c r="D81" s="7"/>
      <c r="E81" s="7"/>
      <c r="F81" s="203"/>
      <c r="G81" s="186"/>
      <c r="H81" s="204">
        <v>0</v>
      </c>
      <c r="J81" s="25"/>
      <c r="K81" s="148"/>
      <c r="L81" s="171">
        <f t="shared" si="4"/>
        <v>0</v>
      </c>
      <c r="N81" s="25"/>
      <c r="O81" s="148"/>
      <c r="P81" s="171">
        <f t="shared" si="5"/>
        <v>0</v>
      </c>
    </row>
    <row r="82" spans="1:16" ht="11.25" customHeight="1">
      <c r="A82" s="7">
        <v>1450</v>
      </c>
      <c r="B82" s="88"/>
      <c r="C82" s="6" t="s">
        <v>241</v>
      </c>
      <c r="D82" s="7"/>
      <c r="E82" s="7"/>
      <c r="F82" s="203"/>
      <c r="G82" s="186"/>
      <c r="H82" s="204">
        <v>1400</v>
      </c>
      <c r="J82" s="25"/>
      <c r="K82" s="148"/>
      <c r="L82" s="171">
        <f t="shared" si="4"/>
        <v>1890.0000000000002</v>
      </c>
      <c r="N82" s="25"/>
      <c r="O82" s="148"/>
      <c r="P82" s="171">
        <f t="shared" si="5"/>
        <v>1890.0000000000002</v>
      </c>
    </row>
    <row r="83" spans="1:16" ht="11.25" customHeight="1">
      <c r="A83" s="7">
        <v>1490</v>
      </c>
      <c r="B83" s="100"/>
      <c r="C83" s="6" t="s">
        <v>242</v>
      </c>
      <c r="D83" s="7"/>
      <c r="E83" s="7"/>
      <c r="F83" s="203"/>
      <c r="G83" s="186"/>
      <c r="H83" s="204">
        <v>0</v>
      </c>
      <c r="J83" s="25"/>
      <c r="K83" s="148"/>
      <c r="L83" s="171">
        <f t="shared" si="4"/>
        <v>0</v>
      </c>
      <c r="N83" s="25"/>
      <c r="O83" s="148"/>
      <c r="P83" s="171">
        <f t="shared" si="5"/>
        <v>0</v>
      </c>
    </row>
    <row r="84" spans="1:16" ht="11.25" customHeight="1">
      <c r="A84" s="7"/>
      <c r="B84" s="7"/>
      <c r="C84" s="7"/>
      <c r="D84" s="7"/>
      <c r="E84" s="7"/>
      <c r="F84" s="203"/>
      <c r="G84" s="186"/>
      <c r="H84" s="204"/>
      <c r="J84" s="25"/>
      <c r="K84" s="148"/>
      <c r="L84" s="171"/>
      <c r="N84" s="25"/>
      <c r="O84" s="148"/>
      <c r="P84" s="171"/>
    </row>
    <row r="85" spans="1:16" ht="11.25" customHeight="1">
      <c r="A85" s="26">
        <v>1500</v>
      </c>
      <c r="B85" s="27" t="s">
        <v>43</v>
      </c>
      <c r="C85" s="26"/>
      <c r="D85" s="26"/>
      <c r="E85" s="26"/>
      <c r="F85" s="205"/>
      <c r="G85" s="206"/>
      <c r="H85" s="207">
        <f>SUM(H87:H90)</f>
        <v>12118</v>
      </c>
      <c r="J85" s="28"/>
      <c r="K85" s="154"/>
      <c r="L85" s="170">
        <f>SUM(L87:L90)</f>
        <v>22596.05</v>
      </c>
      <c r="N85" s="28"/>
      <c r="O85" s="154"/>
      <c r="P85" s="170">
        <f>SUM(P87:P90)</f>
        <v>22596.05</v>
      </c>
    </row>
    <row r="86" spans="1:16" ht="11.25" customHeight="1">
      <c r="A86" s="7"/>
      <c r="B86" s="7"/>
      <c r="C86" s="7"/>
      <c r="D86" s="7"/>
      <c r="E86" s="7"/>
      <c r="F86" s="203"/>
      <c r="G86" s="186"/>
      <c r="H86" s="204"/>
      <c r="J86" s="25"/>
      <c r="K86" s="148"/>
      <c r="L86" s="171"/>
      <c r="N86" s="25"/>
      <c r="O86" s="148"/>
      <c r="P86" s="171"/>
    </row>
    <row r="87" spans="1:17" ht="11.25" customHeight="1">
      <c r="A87" s="7">
        <v>1510</v>
      </c>
      <c r="B87" s="101"/>
      <c r="C87" s="6" t="s">
        <v>44</v>
      </c>
      <c r="D87" s="7"/>
      <c r="E87" s="7"/>
      <c r="F87" s="203">
        <v>1000</v>
      </c>
      <c r="G87" s="186" t="s">
        <v>159</v>
      </c>
      <c r="H87" s="204">
        <v>10195</v>
      </c>
      <c r="J87" s="25">
        <v>1000</v>
      </c>
      <c r="K87" s="148" t="s">
        <v>159</v>
      </c>
      <c r="L87" s="171">
        <v>20000</v>
      </c>
      <c r="N87" s="25">
        <v>1000</v>
      </c>
      <c r="O87" s="148" t="s">
        <v>159</v>
      </c>
      <c r="P87" s="171">
        <v>20000</v>
      </c>
      <c r="Q87" t="s">
        <v>318</v>
      </c>
    </row>
    <row r="88" spans="1:16" ht="11.25" customHeight="1">
      <c r="A88" s="7">
        <v>1530</v>
      </c>
      <c r="B88" s="96"/>
      <c r="C88" s="6" t="s">
        <v>256</v>
      </c>
      <c r="D88" s="7"/>
      <c r="E88" s="7"/>
      <c r="F88" s="203"/>
      <c r="G88" s="186"/>
      <c r="H88" s="204">
        <v>0</v>
      </c>
      <c r="J88" s="25"/>
      <c r="K88" s="148"/>
      <c r="L88" s="171">
        <v>0</v>
      </c>
      <c r="N88" s="25"/>
      <c r="O88" s="148"/>
      <c r="P88" s="171">
        <f>L88</f>
        <v>0</v>
      </c>
    </row>
    <row r="89" spans="1:16" ht="11.25" customHeight="1">
      <c r="A89" s="7"/>
      <c r="B89" s="145"/>
      <c r="C89" s="6" t="s">
        <v>107</v>
      </c>
      <c r="D89" s="7"/>
      <c r="E89" s="7"/>
      <c r="F89" s="203"/>
      <c r="G89" s="186"/>
      <c r="H89" s="204">
        <v>1500</v>
      </c>
      <c r="J89" s="25"/>
      <c r="K89" s="148"/>
      <c r="L89" s="171">
        <f>H89*($L$8+$L$9)</f>
        <v>2025.0000000000002</v>
      </c>
      <c r="N89" s="25"/>
      <c r="O89" s="148"/>
      <c r="P89" s="171">
        <f>L89</f>
        <v>2025.0000000000002</v>
      </c>
    </row>
    <row r="90" spans="1:16" ht="11.25" customHeight="1">
      <c r="A90" s="7"/>
      <c r="B90" s="145"/>
      <c r="C90" s="6" t="s">
        <v>108</v>
      </c>
      <c r="D90" s="7"/>
      <c r="E90" s="7"/>
      <c r="F90" s="203"/>
      <c r="G90" s="186"/>
      <c r="H90" s="204">
        <v>423</v>
      </c>
      <c r="J90" s="25"/>
      <c r="K90" s="148"/>
      <c r="L90" s="171">
        <f>H90*($L$8+$L$9)</f>
        <v>571.0500000000001</v>
      </c>
      <c r="N90" s="25"/>
      <c r="O90" s="148"/>
      <c r="P90" s="171">
        <f>L90</f>
        <v>571.0500000000001</v>
      </c>
    </row>
    <row r="91" spans="1:16" ht="11.25" customHeight="1">
      <c r="A91" s="7"/>
      <c r="B91" s="7"/>
      <c r="C91" s="7"/>
      <c r="D91" s="7"/>
      <c r="E91" s="7"/>
      <c r="F91" s="203"/>
      <c r="G91" s="186"/>
      <c r="H91" s="204"/>
      <c r="J91" s="25"/>
      <c r="K91" s="148"/>
      <c r="L91" s="171"/>
      <c r="N91" s="25"/>
      <c r="O91" s="148"/>
      <c r="P91" s="171"/>
    </row>
    <row r="92" spans="1:16" ht="11.25" customHeight="1">
      <c r="A92" s="26">
        <v>1700</v>
      </c>
      <c r="B92" s="27" t="s">
        <v>176</v>
      </c>
      <c r="C92" s="7"/>
      <c r="D92" s="7"/>
      <c r="E92" s="7"/>
      <c r="F92" s="205"/>
      <c r="G92" s="186"/>
      <c r="H92" s="207">
        <f>SUM(H94,H97,H98,H101,H104,H110)</f>
        <v>190785.89</v>
      </c>
      <c r="J92" s="28"/>
      <c r="K92" s="148"/>
      <c r="L92" s="170">
        <f>SUM(L94,L97,L98,L101,L104,L110)</f>
        <v>244902.5</v>
      </c>
      <c r="N92" s="28"/>
      <c r="O92" s="148"/>
      <c r="P92" s="170">
        <f>SUM(P94,P97,P98,P101,P104,P110)</f>
        <v>202652.5</v>
      </c>
    </row>
    <row r="93" spans="1:16" ht="11.25" customHeight="1">
      <c r="A93" s="7"/>
      <c r="B93" s="7"/>
      <c r="C93" s="7"/>
      <c r="D93" s="7"/>
      <c r="E93" s="7"/>
      <c r="F93" s="203"/>
      <c r="G93" s="186"/>
      <c r="H93" s="204"/>
      <c r="J93" s="25"/>
      <c r="K93" s="148"/>
      <c r="L93" s="171"/>
      <c r="N93" s="25"/>
      <c r="O93" s="148"/>
      <c r="P93" s="171"/>
    </row>
    <row r="94" spans="1:16" ht="11.25" customHeight="1">
      <c r="A94" s="29">
        <v>1710</v>
      </c>
      <c r="B94" s="87"/>
      <c r="C94" s="30" t="s">
        <v>46</v>
      </c>
      <c r="D94" s="32"/>
      <c r="E94" s="32"/>
      <c r="F94" s="227"/>
      <c r="G94" s="228"/>
      <c r="H94" s="229">
        <f>SUM(H95:H96)</f>
        <v>20217.5</v>
      </c>
      <c r="J94" s="31"/>
      <c r="K94" s="160"/>
      <c r="L94" s="177">
        <f>SUM(L95:L96)</f>
        <v>19467.5</v>
      </c>
      <c r="N94" s="31"/>
      <c r="O94" s="160"/>
      <c r="P94" s="177">
        <f>SUM(P95:P96)</f>
        <v>15967.5</v>
      </c>
    </row>
    <row r="95" spans="1:16" ht="11.25" customHeight="1">
      <c r="A95" s="7">
        <v>1711</v>
      </c>
      <c r="B95" s="7"/>
      <c r="C95" s="7"/>
      <c r="D95" s="6" t="s">
        <v>47</v>
      </c>
      <c r="E95" s="78"/>
      <c r="F95" s="203">
        <v>500</v>
      </c>
      <c r="G95" s="186">
        <v>40</v>
      </c>
      <c r="H95" s="204">
        <f>G95*F95</f>
        <v>20000</v>
      </c>
      <c r="J95" s="25">
        <v>550</v>
      </c>
      <c r="K95" s="148">
        <v>35</v>
      </c>
      <c r="L95" s="171">
        <f>K95*J95</f>
        <v>19250</v>
      </c>
      <c r="N95" s="25">
        <v>450</v>
      </c>
      <c r="O95" s="148">
        <v>35</v>
      </c>
      <c r="P95" s="171">
        <f>O95*N95</f>
        <v>15750</v>
      </c>
    </row>
    <row r="96" spans="1:16" ht="11.25" customHeight="1">
      <c r="A96" s="7">
        <v>1719</v>
      </c>
      <c r="B96" s="7"/>
      <c r="C96" s="7"/>
      <c r="D96" s="6" t="s">
        <v>222</v>
      </c>
      <c r="E96" s="6"/>
      <c r="F96" s="203"/>
      <c r="G96" s="186"/>
      <c r="H96" s="204">
        <v>217.5</v>
      </c>
      <c r="J96" s="25"/>
      <c r="K96" s="148"/>
      <c r="L96" s="171">
        <v>217.5</v>
      </c>
      <c r="N96" s="25"/>
      <c r="O96" s="148"/>
      <c r="P96" s="171">
        <v>217.5</v>
      </c>
    </row>
    <row r="97" spans="1:16" ht="11.25" customHeight="1">
      <c r="A97" s="7">
        <v>1720</v>
      </c>
      <c r="B97" s="104"/>
      <c r="C97" s="30" t="s">
        <v>58</v>
      </c>
      <c r="D97" s="32"/>
      <c r="E97" s="32"/>
      <c r="F97" s="203">
        <v>600</v>
      </c>
      <c r="G97" s="186">
        <v>35</v>
      </c>
      <c r="H97" s="229">
        <f>G97*F97</f>
        <v>21000</v>
      </c>
      <c r="J97" s="25">
        <v>750</v>
      </c>
      <c r="K97" s="148">
        <v>42</v>
      </c>
      <c r="L97" s="177">
        <f>K97*J97</f>
        <v>31500</v>
      </c>
      <c r="N97" s="25">
        <v>550</v>
      </c>
      <c r="O97" s="148">
        <v>42</v>
      </c>
      <c r="P97" s="177">
        <f>O97*N97</f>
        <v>23100</v>
      </c>
    </row>
    <row r="98" spans="1:17" ht="11.25" customHeight="1">
      <c r="A98" s="29">
        <v>1750</v>
      </c>
      <c r="B98" s="98"/>
      <c r="C98" s="30" t="s">
        <v>106</v>
      </c>
      <c r="D98" s="32"/>
      <c r="E98" s="32"/>
      <c r="F98" s="227" t="s">
        <v>159</v>
      </c>
      <c r="G98" s="228" t="s">
        <v>159</v>
      </c>
      <c r="H98" s="229">
        <f>SUM(H99:H100)</f>
        <v>65775.5</v>
      </c>
      <c r="J98" s="31" t="s">
        <v>159</v>
      </c>
      <c r="K98" s="160" t="s">
        <v>159</v>
      </c>
      <c r="L98" s="177">
        <f>SUM(L99:L100)</f>
        <v>83250</v>
      </c>
      <c r="N98" s="31" t="s">
        <v>159</v>
      </c>
      <c r="O98" s="160" t="s">
        <v>159</v>
      </c>
      <c r="P98" s="177">
        <f>SUM(P99:P100)</f>
        <v>70500</v>
      </c>
      <c r="Q98" t="s">
        <v>313</v>
      </c>
    </row>
    <row r="99" spans="1:16" ht="11.25" customHeight="1">
      <c r="A99" s="7">
        <v>1751</v>
      </c>
      <c r="B99" s="7"/>
      <c r="C99" s="7"/>
      <c r="D99" s="6" t="s">
        <v>48</v>
      </c>
      <c r="E99" s="93"/>
      <c r="F99" s="203">
        <f>600*5+500*2+400*2</f>
        <v>4800</v>
      </c>
      <c r="G99" s="186">
        <f>((600*3+500+400)*15.25+(600*2+500+400)*9)/(600*5+500*2+400*2)</f>
        <v>12.515625</v>
      </c>
      <c r="H99" s="204">
        <f>G99*F99</f>
        <v>60075</v>
      </c>
      <c r="J99" s="25">
        <f>700*5*3</f>
        <v>10500</v>
      </c>
      <c r="K99" s="148">
        <v>7.5</v>
      </c>
      <c r="L99" s="171">
        <f>K99*J99</f>
        <v>78750</v>
      </c>
      <c r="N99" s="25">
        <f>600*5*3</f>
        <v>9000</v>
      </c>
      <c r="O99" s="148">
        <v>7.5</v>
      </c>
      <c r="P99" s="171">
        <f>O99*N99</f>
        <v>67500</v>
      </c>
    </row>
    <row r="100" spans="1:16" ht="11.25" customHeight="1">
      <c r="A100" s="7">
        <v>1752</v>
      </c>
      <c r="B100" s="7"/>
      <c r="C100" s="7"/>
      <c r="D100" s="6" t="s">
        <v>42</v>
      </c>
      <c r="E100" s="76"/>
      <c r="F100" s="203"/>
      <c r="G100" s="186"/>
      <c r="H100" s="230">
        <f>175*11*1.3+205*12*1.3</f>
        <v>5700.5</v>
      </c>
      <c r="J100" s="25">
        <f>300*2</f>
        <v>600</v>
      </c>
      <c r="K100" s="148">
        <v>7.5</v>
      </c>
      <c r="L100" s="171">
        <f>K100*J100</f>
        <v>4500</v>
      </c>
      <c r="N100" s="25">
        <f>200*2</f>
        <v>400</v>
      </c>
      <c r="O100" s="148">
        <v>7.5</v>
      </c>
      <c r="P100" s="171">
        <f>O100*N100</f>
        <v>3000</v>
      </c>
    </row>
    <row r="101" spans="1:16" ht="11.25" customHeight="1">
      <c r="A101" s="7">
        <v>1760</v>
      </c>
      <c r="B101" s="99"/>
      <c r="C101" s="30" t="s">
        <v>214</v>
      </c>
      <c r="D101" s="32"/>
      <c r="E101" s="32"/>
      <c r="F101" s="203">
        <f>50+20*4</f>
        <v>130</v>
      </c>
      <c r="G101" s="186">
        <v>4.25</v>
      </c>
      <c r="H101" s="229">
        <f>F101*G101</f>
        <v>552.5</v>
      </c>
      <c r="J101" s="25">
        <v>100</v>
      </c>
      <c r="K101" s="148">
        <v>7.5</v>
      </c>
      <c r="L101" s="177">
        <f>J101*K101</f>
        <v>750</v>
      </c>
      <c r="N101" s="25">
        <v>100</v>
      </c>
      <c r="O101" s="148">
        <v>7.5</v>
      </c>
      <c r="P101" s="177">
        <f>N101*O101</f>
        <v>750</v>
      </c>
    </row>
    <row r="102" spans="1:16" ht="11.25" customHeight="1">
      <c r="A102" s="7"/>
      <c r="B102" s="105"/>
      <c r="C102" s="6" t="s">
        <v>223</v>
      </c>
      <c r="D102" s="32"/>
      <c r="E102" s="32"/>
      <c r="F102" s="203"/>
      <c r="G102" s="186"/>
      <c r="H102" s="229">
        <f>H94+H97+H98+H101</f>
        <v>107545.5</v>
      </c>
      <c r="J102" s="25"/>
      <c r="K102" s="148"/>
      <c r="L102" s="177">
        <f>L94+L97+L98+L101</f>
        <v>134967.5</v>
      </c>
      <c r="N102" s="25"/>
      <c r="O102" s="148"/>
      <c r="P102" s="177">
        <f>P94+P97+P98+P101</f>
        <v>110317.5</v>
      </c>
    </row>
    <row r="103" spans="1:16" ht="11.25" customHeight="1">
      <c r="A103" s="7"/>
      <c r="B103" s="145"/>
      <c r="C103" s="6"/>
      <c r="D103" s="32"/>
      <c r="E103" s="32"/>
      <c r="F103" s="203"/>
      <c r="G103" s="186" t="s">
        <v>159</v>
      </c>
      <c r="H103" s="229"/>
      <c r="J103" s="25"/>
      <c r="K103" s="148" t="s">
        <v>159</v>
      </c>
      <c r="L103" s="177"/>
      <c r="N103" s="25"/>
      <c r="O103" s="148" t="s">
        <v>159</v>
      </c>
      <c r="P103" s="177"/>
    </row>
    <row r="104" spans="1:16" ht="11.25" customHeight="1">
      <c r="A104" s="29">
        <v>1730</v>
      </c>
      <c r="B104" s="93"/>
      <c r="C104" s="30" t="s">
        <v>59</v>
      </c>
      <c r="D104" s="32"/>
      <c r="E104" s="32"/>
      <c r="F104" s="227">
        <v>810</v>
      </c>
      <c r="G104" s="228"/>
      <c r="H104" s="229">
        <f>SUM(H105:H108)</f>
        <v>82101.39</v>
      </c>
      <c r="J104" s="31">
        <v>900</v>
      </c>
      <c r="K104" s="160"/>
      <c r="L104" s="177">
        <f>SUM(L105:L108)</f>
        <v>109935</v>
      </c>
      <c r="N104" s="31">
        <v>740</v>
      </c>
      <c r="O104" s="160"/>
      <c r="P104" s="177">
        <f>SUM(P105:P108)</f>
        <v>92335</v>
      </c>
    </row>
    <row r="105" spans="1:16" ht="11.25" customHeight="1">
      <c r="A105" s="7">
        <v>1731</v>
      </c>
      <c r="B105" s="7"/>
      <c r="C105" s="7"/>
      <c r="D105" s="6" t="s">
        <v>81</v>
      </c>
      <c r="E105" s="78"/>
      <c r="F105" s="203"/>
      <c r="G105" s="186"/>
      <c r="H105" s="204">
        <f>71000-2988.61</f>
        <v>68011.39</v>
      </c>
      <c r="J105" s="25"/>
      <c r="K105" s="148">
        <v>110</v>
      </c>
      <c r="L105" s="171">
        <f>J104*K105</f>
        <v>99000</v>
      </c>
      <c r="N105" s="25"/>
      <c r="O105" s="148">
        <v>110</v>
      </c>
      <c r="P105" s="171">
        <f>N104*O105</f>
        <v>81400</v>
      </c>
    </row>
    <row r="106" spans="1:16" ht="11.25" customHeight="1">
      <c r="A106" s="7"/>
      <c r="B106" s="7"/>
      <c r="C106" s="7"/>
      <c r="D106" s="6" t="s">
        <v>259</v>
      </c>
      <c r="E106" s="78"/>
      <c r="F106" s="203"/>
      <c r="G106" s="186"/>
      <c r="H106" s="204">
        <v>2092</v>
      </c>
      <c r="J106" s="25"/>
      <c r="K106" s="148"/>
      <c r="L106" s="171">
        <v>0</v>
      </c>
      <c r="N106" s="25"/>
      <c r="O106" s="148"/>
      <c r="P106" s="171">
        <v>0</v>
      </c>
    </row>
    <row r="107" spans="1:16" ht="11.25" customHeight="1">
      <c r="A107" s="7"/>
      <c r="B107" s="7"/>
      <c r="C107" s="7"/>
      <c r="D107" s="6" t="s">
        <v>167</v>
      </c>
      <c r="E107" s="78"/>
      <c r="F107" s="203"/>
      <c r="G107" s="186"/>
      <c r="H107" s="204">
        <v>8100</v>
      </c>
      <c r="J107" s="25"/>
      <c r="K107" s="148"/>
      <c r="L107" s="171">
        <f>H107*($L$8+$L$9)</f>
        <v>10935</v>
      </c>
      <c r="N107" s="25"/>
      <c r="O107" s="148"/>
      <c r="P107" s="171">
        <f>L107</f>
        <v>10935</v>
      </c>
    </row>
    <row r="108" spans="1:16" ht="11.25" customHeight="1">
      <c r="A108" s="7">
        <v>1739</v>
      </c>
      <c r="B108" s="7"/>
      <c r="C108" s="7"/>
      <c r="D108" s="6" t="s">
        <v>168</v>
      </c>
      <c r="E108" s="6"/>
      <c r="F108" s="203"/>
      <c r="G108" s="186"/>
      <c r="H108" s="204">
        <v>3898</v>
      </c>
      <c r="J108" s="25"/>
      <c r="K108" s="148"/>
      <c r="L108" s="171">
        <v>0</v>
      </c>
      <c r="N108" s="25"/>
      <c r="O108" s="148"/>
      <c r="P108" s="171">
        <v>0</v>
      </c>
    </row>
    <row r="109" spans="1:16" ht="11.25" customHeight="1">
      <c r="A109" s="7"/>
      <c r="B109" s="145"/>
      <c r="C109" s="6"/>
      <c r="D109" s="32"/>
      <c r="E109" s="32"/>
      <c r="F109" s="203"/>
      <c r="G109" s="186"/>
      <c r="H109" s="229"/>
      <c r="J109" s="25"/>
      <c r="K109" s="148"/>
      <c r="L109" s="177"/>
      <c r="N109" s="25"/>
      <c r="O109" s="148"/>
      <c r="P109" s="177"/>
    </row>
    <row r="110" spans="1:16" ht="11.25" customHeight="1">
      <c r="A110" s="29">
        <v>1770</v>
      </c>
      <c r="B110" s="88"/>
      <c r="C110" s="30" t="s">
        <v>82</v>
      </c>
      <c r="D110" s="32"/>
      <c r="E110" s="32"/>
      <c r="F110" s="227"/>
      <c r="G110" s="228"/>
      <c r="H110" s="229">
        <v>1139</v>
      </c>
      <c r="J110" s="31"/>
      <c r="K110" s="160"/>
      <c r="L110" s="177">
        <v>0</v>
      </c>
      <c r="N110" s="31"/>
      <c r="O110" s="160"/>
      <c r="P110" s="177">
        <v>0</v>
      </c>
    </row>
    <row r="111" spans="1:16" ht="11.25" customHeight="1">
      <c r="A111" s="29"/>
      <c r="B111" s="145"/>
      <c r="C111" s="30"/>
      <c r="D111" s="32"/>
      <c r="E111" s="32"/>
      <c r="F111" s="227"/>
      <c r="G111" s="228"/>
      <c r="H111" s="229"/>
      <c r="J111" s="31"/>
      <c r="K111" s="160"/>
      <c r="L111" s="177"/>
      <c r="N111" s="31"/>
      <c r="O111" s="160"/>
      <c r="P111" s="177"/>
    </row>
    <row r="112" spans="1:16" ht="11.25" customHeight="1">
      <c r="A112" s="7"/>
      <c r="B112" s="12" t="s">
        <v>323</v>
      </c>
      <c r="D112" s="7"/>
      <c r="E112" s="7"/>
      <c r="F112" s="203"/>
      <c r="G112" s="186"/>
      <c r="H112" s="204"/>
      <c r="J112" s="179"/>
      <c r="K112" s="180"/>
      <c r="L112" s="181">
        <v>56000</v>
      </c>
      <c r="M112" s="182"/>
      <c r="N112" s="183"/>
      <c r="O112" s="180"/>
      <c r="P112" s="181">
        <v>56000</v>
      </c>
    </row>
    <row r="113" spans="1:16" ht="11.25" customHeight="1">
      <c r="A113" s="7"/>
      <c r="B113" s="7"/>
      <c r="C113" s="7"/>
      <c r="D113" s="7"/>
      <c r="E113" s="7"/>
      <c r="F113" s="203"/>
      <c r="G113" s="186"/>
      <c r="H113" s="204"/>
      <c r="J113" s="25"/>
      <c r="K113" s="148"/>
      <c r="L113" s="171"/>
      <c r="N113" s="25"/>
      <c r="O113" s="148"/>
      <c r="P113" s="171"/>
    </row>
    <row r="114" spans="1:16" ht="11.25" customHeight="1">
      <c r="A114" s="26">
        <v>1800</v>
      </c>
      <c r="B114" s="27" t="s">
        <v>49</v>
      </c>
      <c r="C114" s="7"/>
      <c r="D114" s="7"/>
      <c r="E114" s="7"/>
      <c r="F114" s="205"/>
      <c r="G114" s="186"/>
      <c r="H114" s="207">
        <f>SUM(H116:H131)-SUM(H121:H123)</f>
        <v>69697.85</v>
      </c>
      <c r="J114" s="28"/>
      <c r="K114" s="148"/>
      <c r="L114" s="170">
        <f>SUM(L116:L131)-SUM(L121:L123)</f>
        <v>94092.0975</v>
      </c>
      <c r="N114" s="28"/>
      <c r="O114" s="148"/>
      <c r="P114" s="170">
        <f>SUM(P116:P131)-SUM(P121:P123)</f>
        <v>94092.0975</v>
      </c>
    </row>
    <row r="115" spans="1:16" ht="11.25" customHeight="1">
      <c r="A115" s="7"/>
      <c r="B115" s="7"/>
      <c r="C115" s="7"/>
      <c r="D115" s="7"/>
      <c r="E115" s="7"/>
      <c r="F115" s="203"/>
      <c r="G115" s="186"/>
      <c r="H115" s="204"/>
      <c r="J115" s="25"/>
      <c r="K115" s="148"/>
      <c r="L115" s="171"/>
      <c r="N115" s="25"/>
      <c r="O115" s="148"/>
      <c r="P115" s="171"/>
    </row>
    <row r="116" spans="1:16" ht="11.25" customHeight="1">
      <c r="A116" s="7">
        <v>1802</v>
      </c>
      <c r="B116" s="103"/>
      <c r="C116" s="7" t="s">
        <v>50</v>
      </c>
      <c r="D116" s="7"/>
      <c r="E116" s="7"/>
      <c r="F116" s="203"/>
      <c r="G116" s="186"/>
      <c r="H116" s="204">
        <v>2300</v>
      </c>
      <c r="J116" s="25"/>
      <c r="K116" s="148"/>
      <c r="L116" s="171">
        <f aca="true" t="shared" si="6" ref="L116:L131">H116*($L$8+$L$9)</f>
        <v>3105</v>
      </c>
      <c r="N116" s="25"/>
      <c r="O116" s="148"/>
      <c r="P116" s="171">
        <f aca="true" t="shared" si="7" ref="P116:P131">L116</f>
        <v>3105</v>
      </c>
    </row>
    <row r="117" spans="1:16" ht="11.25" customHeight="1">
      <c r="A117" s="7">
        <v>1805</v>
      </c>
      <c r="B117" s="106"/>
      <c r="C117" s="6" t="s">
        <v>51</v>
      </c>
      <c r="D117" s="7"/>
      <c r="E117" s="7"/>
      <c r="F117" s="203"/>
      <c r="G117" s="186"/>
      <c r="H117" s="204">
        <v>200</v>
      </c>
      <c r="J117" s="25"/>
      <c r="K117" s="148"/>
      <c r="L117" s="171">
        <f t="shared" si="6"/>
        <v>270</v>
      </c>
      <c r="N117" s="25"/>
      <c r="O117" s="148"/>
      <c r="P117" s="171">
        <f t="shared" si="7"/>
        <v>270</v>
      </c>
    </row>
    <row r="118" spans="1:16" ht="11.25" customHeight="1">
      <c r="A118" s="7">
        <v>1810</v>
      </c>
      <c r="B118" s="100"/>
      <c r="C118" s="6" t="s">
        <v>1</v>
      </c>
      <c r="D118" s="7"/>
      <c r="E118" s="7"/>
      <c r="F118" s="203"/>
      <c r="G118" s="186"/>
      <c r="H118" s="204">
        <v>0</v>
      </c>
      <c r="J118" s="25"/>
      <c r="K118" s="148"/>
      <c r="L118" s="171">
        <f t="shared" si="6"/>
        <v>0</v>
      </c>
      <c r="N118" s="25"/>
      <c r="O118" s="148"/>
      <c r="P118" s="171"/>
    </row>
    <row r="119" spans="1:16" ht="11.25" customHeight="1">
      <c r="A119" s="7">
        <v>1815</v>
      </c>
      <c r="B119" s="107"/>
      <c r="C119" s="6" t="s">
        <v>2</v>
      </c>
      <c r="D119" s="7"/>
      <c r="E119" s="7"/>
      <c r="F119" s="203"/>
      <c r="G119" s="186"/>
      <c r="H119" s="229">
        <v>31704.45</v>
      </c>
      <c r="J119" s="25"/>
      <c r="K119" s="148"/>
      <c r="L119" s="171">
        <f t="shared" si="6"/>
        <v>42801.00750000001</v>
      </c>
      <c r="N119" s="25"/>
      <c r="O119" s="148"/>
      <c r="P119" s="171">
        <f t="shared" si="7"/>
        <v>42801.00750000001</v>
      </c>
    </row>
    <row r="120" spans="1:16" ht="11.25" customHeight="1">
      <c r="A120" s="7">
        <v>1820</v>
      </c>
      <c r="B120" s="108"/>
      <c r="C120" s="6" t="s">
        <v>204</v>
      </c>
      <c r="D120" s="7"/>
      <c r="E120" s="7"/>
      <c r="F120" s="227"/>
      <c r="G120" s="228"/>
      <c r="H120" s="229">
        <f>SUM(H121:H123)</f>
        <v>17795.58</v>
      </c>
      <c r="J120" s="31"/>
      <c r="K120" s="160"/>
      <c r="L120" s="171">
        <f t="shared" si="6"/>
        <v>24024.033000000003</v>
      </c>
      <c r="N120" s="31"/>
      <c r="O120" s="160"/>
      <c r="P120" s="171">
        <f t="shared" si="7"/>
        <v>24024.033000000003</v>
      </c>
    </row>
    <row r="121" spans="1:16" ht="11.25" customHeight="1">
      <c r="A121" s="7"/>
      <c r="B121" s="136"/>
      <c r="C121" s="6"/>
      <c r="D121" s="7" t="s">
        <v>201</v>
      </c>
      <c r="E121" s="7"/>
      <c r="F121" s="203"/>
      <c r="G121" s="186"/>
      <c r="H121" s="204">
        <v>6300</v>
      </c>
      <c r="J121" s="25"/>
      <c r="K121" s="148"/>
      <c r="L121" s="171">
        <f t="shared" si="6"/>
        <v>8505</v>
      </c>
      <c r="N121" s="25"/>
      <c r="O121" s="148"/>
      <c r="P121" s="171">
        <f t="shared" si="7"/>
        <v>8505</v>
      </c>
    </row>
    <row r="122" spans="1:16" ht="11.25" customHeight="1">
      <c r="A122" s="7"/>
      <c r="B122" s="136"/>
      <c r="C122" s="6"/>
      <c r="D122" s="7" t="s">
        <v>202</v>
      </c>
      <c r="E122" s="7"/>
      <c r="F122" s="203"/>
      <c r="G122" s="186"/>
      <c r="H122" s="204">
        <v>9000</v>
      </c>
      <c r="J122" s="25"/>
      <c r="K122" s="148"/>
      <c r="L122" s="171">
        <f t="shared" si="6"/>
        <v>12150</v>
      </c>
      <c r="N122" s="25"/>
      <c r="O122" s="148"/>
      <c r="P122" s="171">
        <f t="shared" si="7"/>
        <v>12150</v>
      </c>
    </row>
    <row r="123" spans="1:16" ht="11.25" customHeight="1">
      <c r="A123" s="7"/>
      <c r="B123" s="136"/>
      <c r="C123" s="6"/>
      <c r="D123" s="7" t="s">
        <v>203</v>
      </c>
      <c r="E123" s="7"/>
      <c r="F123" s="203"/>
      <c r="G123" s="186"/>
      <c r="H123" s="204">
        <f>46.62+10961.7-9560.7+1047.96</f>
        <v>2495.580000000001</v>
      </c>
      <c r="J123" s="25"/>
      <c r="K123" s="148"/>
      <c r="L123" s="171">
        <f t="shared" si="6"/>
        <v>3369.0330000000013</v>
      </c>
      <c r="N123" s="25"/>
      <c r="O123" s="148"/>
      <c r="P123" s="171">
        <f t="shared" si="7"/>
        <v>3369.0330000000013</v>
      </c>
    </row>
    <row r="124" spans="1:16" ht="11.25" customHeight="1">
      <c r="A124" s="7">
        <v>1825</v>
      </c>
      <c r="B124" s="109"/>
      <c r="C124" s="6"/>
      <c r="D124" s="7" t="s">
        <v>255</v>
      </c>
      <c r="E124" s="7"/>
      <c r="F124" s="203"/>
      <c r="G124" s="186"/>
      <c r="H124" s="204">
        <v>5000</v>
      </c>
      <c r="J124" s="25"/>
      <c r="K124" s="148"/>
      <c r="L124" s="171">
        <f t="shared" si="6"/>
        <v>6750</v>
      </c>
      <c r="N124" s="25"/>
      <c r="O124" s="148"/>
      <c r="P124" s="171">
        <f t="shared" si="7"/>
        <v>6750</v>
      </c>
    </row>
    <row r="125" spans="1:16" ht="11.25" customHeight="1">
      <c r="A125" s="7">
        <v>1830</v>
      </c>
      <c r="B125" s="101"/>
      <c r="C125" s="6" t="s">
        <v>75</v>
      </c>
      <c r="D125" s="7"/>
      <c r="E125" s="7"/>
      <c r="F125" s="203"/>
      <c r="G125" s="186"/>
      <c r="H125" s="204"/>
      <c r="J125" s="25"/>
      <c r="K125" s="148"/>
      <c r="L125" s="171"/>
      <c r="N125" s="25"/>
      <c r="O125" s="148"/>
      <c r="P125" s="171"/>
    </row>
    <row r="126" spans="1:16" ht="11.25" customHeight="1">
      <c r="A126" s="7">
        <v>1835</v>
      </c>
      <c r="B126" s="110"/>
      <c r="C126" s="6" t="s">
        <v>76</v>
      </c>
      <c r="D126" s="7"/>
      <c r="E126" s="7"/>
      <c r="F126" s="203"/>
      <c r="G126" s="186"/>
      <c r="H126" s="204">
        <v>1500</v>
      </c>
      <c r="J126" s="25"/>
      <c r="K126" s="148"/>
      <c r="L126" s="171">
        <f t="shared" si="6"/>
        <v>2025.0000000000002</v>
      </c>
      <c r="N126" s="25"/>
      <c r="O126" s="148"/>
      <c r="P126" s="171">
        <f t="shared" si="7"/>
        <v>2025.0000000000002</v>
      </c>
    </row>
    <row r="127" spans="1:16" ht="11.25" customHeight="1">
      <c r="A127" s="7">
        <v>1840</v>
      </c>
      <c r="B127" s="102"/>
      <c r="C127" s="6" t="s">
        <v>246</v>
      </c>
      <c r="D127" s="7"/>
      <c r="E127" s="7"/>
      <c r="F127" s="203"/>
      <c r="G127" s="186"/>
      <c r="H127" s="204">
        <f>240+63.82</f>
        <v>303.82</v>
      </c>
      <c r="J127" s="25"/>
      <c r="K127" s="148"/>
      <c r="L127" s="171">
        <f t="shared" si="6"/>
        <v>410.15700000000004</v>
      </c>
      <c r="N127" s="25"/>
      <c r="O127" s="148"/>
      <c r="P127" s="171">
        <f t="shared" si="7"/>
        <v>410.15700000000004</v>
      </c>
    </row>
    <row r="128" spans="1:16" ht="11.25" customHeight="1">
      <c r="A128" s="7">
        <v>1845</v>
      </c>
      <c r="B128" s="111"/>
      <c r="C128" s="6" t="s">
        <v>77</v>
      </c>
      <c r="D128" s="7"/>
      <c r="E128" s="7"/>
      <c r="F128" s="203"/>
      <c r="G128" s="186"/>
      <c r="H128" s="204"/>
      <c r="J128" s="25"/>
      <c r="K128" s="148"/>
      <c r="L128" s="171">
        <f t="shared" si="6"/>
        <v>0</v>
      </c>
      <c r="N128" s="25"/>
      <c r="O128" s="148"/>
      <c r="P128" s="171"/>
    </row>
    <row r="129" spans="1:16" ht="11.25" customHeight="1">
      <c r="A129" s="7"/>
      <c r="B129" s="137"/>
      <c r="C129" s="6" t="s">
        <v>133</v>
      </c>
      <c r="D129" s="7"/>
      <c r="E129" s="7"/>
      <c r="F129" s="203"/>
      <c r="G129" s="186"/>
      <c r="H129" s="204">
        <v>1584</v>
      </c>
      <c r="J129" s="25"/>
      <c r="K129" s="148"/>
      <c r="L129" s="171">
        <f t="shared" si="6"/>
        <v>2138.4</v>
      </c>
      <c r="N129" s="25"/>
      <c r="O129" s="148"/>
      <c r="P129" s="171">
        <f t="shared" si="7"/>
        <v>2138.4</v>
      </c>
    </row>
    <row r="130" spans="1:16" ht="11.25" customHeight="1">
      <c r="A130" s="7"/>
      <c r="B130" s="137"/>
      <c r="C130" s="6" t="s">
        <v>257</v>
      </c>
      <c r="D130" s="7"/>
      <c r="E130" s="7"/>
      <c r="F130" s="203"/>
      <c r="G130" s="186"/>
      <c r="H130" s="204">
        <v>310</v>
      </c>
      <c r="J130" s="25"/>
      <c r="K130" s="148"/>
      <c r="L130" s="171">
        <f t="shared" si="6"/>
        <v>418.5</v>
      </c>
      <c r="N130" s="25"/>
      <c r="O130" s="148"/>
      <c r="P130" s="171">
        <f t="shared" si="7"/>
        <v>418.5</v>
      </c>
    </row>
    <row r="131" spans="1:16" ht="11.25" customHeight="1">
      <c r="A131" s="7"/>
      <c r="B131" s="137"/>
      <c r="C131" s="6" t="s">
        <v>134</v>
      </c>
      <c r="D131" s="7"/>
      <c r="E131" s="7"/>
      <c r="F131" s="203"/>
      <c r="G131" s="186"/>
      <c r="H131" s="204">
        <v>9000</v>
      </c>
      <c r="J131" s="25"/>
      <c r="K131" s="148"/>
      <c r="L131" s="171">
        <f t="shared" si="6"/>
        <v>12150</v>
      </c>
      <c r="N131" s="25"/>
      <c r="O131" s="148"/>
      <c r="P131" s="171">
        <f t="shared" si="7"/>
        <v>12150</v>
      </c>
    </row>
    <row r="132" spans="1:16" ht="11.25" customHeight="1">
      <c r="A132" s="7"/>
      <c r="B132" s="7"/>
      <c r="C132" s="7"/>
      <c r="D132" s="7"/>
      <c r="E132" s="7"/>
      <c r="F132" s="203"/>
      <c r="G132" s="186"/>
      <c r="H132" s="204"/>
      <c r="J132" s="25"/>
      <c r="K132" s="148"/>
      <c r="L132" s="171"/>
      <c r="N132" s="25"/>
      <c r="O132" s="148"/>
      <c r="P132" s="171"/>
    </row>
    <row r="133" spans="1:16" ht="11.25" customHeight="1">
      <c r="A133" s="26">
        <v>1900</v>
      </c>
      <c r="B133" s="27" t="s">
        <v>41</v>
      </c>
      <c r="C133" s="7"/>
      <c r="D133" s="7"/>
      <c r="E133" s="7"/>
      <c r="F133" s="205"/>
      <c r="G133" s="186"/>
      <c r="H133" s="207">
        <f>SUM(H135,H142)</f>
        <v>41109.770000000004</v>
      </c>
      <c r="J133" s="28"/>
      <c r="K133" s="148"/>
      <c r="L133" s="170">
        <f>SUM(L135,L142)</f>
        <v>68550.0755</v>
      </c>
      <c r="N133" s="28"/>
      <c r="O133" s="148"/>
      <c r="P133" s="170">
        <f>SUM(P135,P142)</f>
        <v>65730.6755</v>
      </c>
    </row>
    <row r="134" spans="1:16" ht="11.25" customHeight="1">
      <c r="A134" s="7"/>
      <c r="B134" s="7"/>
      <c r="C134" s="7"/>
      <c r="D134" s="7"/>
      <c r="E134" s="7"/>
      <c r="F134" s="203"/>
      <c r="G134" s="186"/>
      <c r="H134" s="204"/>
      <c r="J134" s="25"/>
      <c r="K134" s="148"/>
      <c r="L134" s="171"/>
      <c r="N134" s="25"/>
      <c r="O134" s="148"/>
      <c r="P134" s="171"/>
    </row>
    <row r="135" spans="1:16" ht="11.25" customHeight="1">
      <c r="A135" s="29">
        <v>1910</v>
      </c>
      <c r="B135" s="80"/>
      <c r="C135" s="30" t="s">
        <v>78</v>
      </c>
      <c r="D135" s="7"/>
      <c r="E135" s="7"/>
      <c r="F135" s="227"/>
      <c r="G135" s="228"/>
      <c r="H135" s="229">
        <f>SUM(H136:H140)</f>
        <v>31549.07</v>
      </c>
      <c r="J135" s="31"/>
      <c r="K135" s="160"/>
      <c r="L135" s="166">
        <f>SUM(L136:L140)</f>
        <v>53478.9755</v>
      </c>
      <c r="N135" s="31"/>
      <c r="O135" s="160"/>
      <c r="P135" s="166">
        <f>SUM(P136:P140)</f>
        <v>53478.9755</v>
      </c>
    </row>
    <row r="136" spans="1:16" ht="11.25" customHeight="1">
      <c r="A136" s="7">
        <v>1911</v>
      </c>
      <c r="B136" s="7"/>
      <c r="C136" s="7"/>
      <c r="D136" s="6" t="s">
        <v>268</v>
      </c>
      <c r="E136" s="6"/>
      <c r="F136" s="203"/>
      <c r="G136" s="186"/>
      <c r="H136" s="204">
        <v>1188.13</v>
      </c>
      <c r="J136" s="25"/>
      <c r="K136" s="148"/>
      <c r="L136" s="171">
        <f aca="true" t="shared" si="8" ref="L136:L141">H136*($L$8+$L$9)</f>
        <v>1603.9755000000002</v>
      </c>
      <c r="N136" s="25"/>
      <c r="O136" s="148"/>
      <c r="P136" s="171">
        <f>L136</f>
        <v>1603.9755000000002</v>
      </c>
    </row>
    <row r="137" spans="1:17" ht="11.25" customHeight="1">
      <c r="A137" s="7">
        <v>1912</v>
      </c>
      <c r="B137" s="7"/>
      <c r="C137" s="7"/>
      <c r="D137" s="6" t="s">
        <v>205</v>
      </c>
      <c r="E137" s="6" t="s">
        <v>266</v>
      </c>
      <c r="F137" s="203"/>
      <c r="G137" s="186"/>
      <c r="H137" s="204">
        <f>21500-550*6-475</f>
        <v>17725</v>
      </c>
      <c r="J137" s="25"/>
      <c r="K137" s="148"/>
      <c r="L137" s="171">
        <v>35000</v>
      </c>
      <c r="N137" s="25"/>
      <c r="O137" s="148"/>
      <c r="P137" s="171">
        <v>35000</v>
      </c>
      <c r="Q137" t="s">
        <v>320</v>
      </c>
    </row>
    <row r="138" spans="1:16" ht="11.25" customHeight="1">
      <c r="A138" s="7">
        <v>1913</v>
      </c>
      <c r="B138" s="7"/>
      <c r="C138" s="7"/>
      <c r="D138" s="6" t="s">
        <v>267</v>
      </c>
      <c r="E138" s="6"/>
      <c r="F138" s="203"/>
      <c r="G138" s="186"/>
      <c r="H138" s="204">
        <v>5000</v>
      </c>
      <c r="J138" s="25"/>
      <c r="K138" s="148"/>
      <c r="L138" s="171">
        <f t="shared" si="8"/>
        <v>6750</v>
      </c>
      <c r="N138" s="25"/>
      <c r="O138" s="148"/>
      <c r="P138" s="171">
        <f>L138</f>
        <v>6750</v>
      </c>
    </row>
    <row r="139" spans="1:16" ht="11.25" customHeight="1">
      <c r="A139" s="7"/>
      <c r="B139" s="7"/>
      <c r="C139" s="7"/>
      <c r="D139" s="6" t="s">
        <v>105</v>
      </c>
      <c r="E139" s="6"/>
      <c r="F139" s="203"/>
      <c r="G139" s="186"/>
      <c r="H139" s="186">
        <f>2000+20*(F37-80)</f>
        <v>7500</v>
      </c>
      <c r="J139" s="25"/>
      <c r="K139" s="148"/>
      <c r="L139" s="171">
        <f t="shared" si="8"/>
        <v>10125</v>
      </c>
      <c r="N139" s="25"/>
      <c r="O139" s="148"/>
      <c r="P139" s="171">
        <f>L139</f>
        <v>10125</v>
      </c>
    </row>
    <row r="140" spans="1:16" ht="11.25" customHeight="1">
      <c r="A140" s="7" t="s">
        <v>159</v>
      </c>
      <c r="B140" s="7"/>
      <c r="C140" s="7"/>
      <c r="D140" s="6"/>
      <c r="E140" s="6" t="s">
        <v>226</v>
      </c>
      <c r="F140" s="203"/>
      <c r="G140" s="186"/>
      <c r="H140" s="204">
        <v>135.94</v>
      </c>
      <c r="J140" s="25"/>
      <c r="K140" s="148"/>
      <c r="L140" s="171">
        <v>0</v>
      </c>
      <c r="N140" s="25"/>
      <c r="O140" s="148"/>
      <c r="P140" s="171">
        <f>L140</f>
        <v>0</v>
      </c>
    </row>
    <row r="141" spans="1:16" ht="11.25" customHeight="1">
      <c r="A141" s="7"/>
      <c r="B141" s="7"/>
      <c r="C141" s="7"/>
      <c r="D141" s="7"/>
      <c r="E141" s="7"/>
      <c r="F141" s="203"/>
      <c r="G141" s="186"/>
      <c r="H141" s="204"/>
      <c r="J141" s="25"/>
      <c r="K141" s="148"/>
      <c r="L141" s="171">
        <f t="shared" si="8"/>
        <v>0</v>
      </c>
      <c r="N141" s="25"/>
      <c r="O141" s="148"/>
      <c r="P141" s="171">
        <f>L141</f>
        <v>0</v>
      </c>
    </row>
    <row r="142" spans="1:16" ht="11.25" customHeight="1">
      <c r="A142" s="29">
        <v>1980</v>
      </c>
      <c r="B142" s="92"/>
      <c r="C142" s="30" t="s">
        <v>34</v>
      </c>
      <c r="D142" s="7"/>
      <c r="E142" s="7"/>
      <c r="F142" s="227"/>
      <c r="G142" s="228"/>
      <c r="H142" s="229">
        <f>SUM(H143:H143)</f>
        <v>9560.7</v>
      </c>
      <c r="J142" s="31"/>
      <c r="K142" s="160"/>
      <c r="L142" s="166">
        <f>SUM(L143:L143)</f>
        <v>15071.099999999999</v>
      </c>
      <c r="N142" s="31"/>
      <c r="O142" s="160"/>
      <c r="P142" s="166">
        <f>SUM(P143:P143)</f>
        <v>12251.699999999999</v>
      </c>
    </row>
    <row r="143" spans="1:17" ht="11.25" customHeight="1">
      <c r="A143" s="7">
        <v>1982</v>
      </c>
      <c r="B143" s="7"/>
      <c r="C143" s="7"/>
      <c r="D143" s="6" t="s">
        <v>217</v>
      </c>
      <c r="E143" s="6"/>
      <c r="F143" s="203"/>
      <c r="G143" s="186"/>
      <c r="H143" s="204">
        <v>9560.7</v>
      </c>
      <c r="J143" s="25"/>
      <c r="K143" s="148"/>
      <c r="L143" s="171">
        <f>0.03*L20</f>
        <v>15071.099999999999</v>
      </c>
      <c r="M143" s="178">
        <v>0.03</v>
      </c>
      <c r="N143" s="25"/>
      <c r="O143" s="148"/>
      <c r="P143" s="171">
        <f>0.03*P20</f>
        <v>12251.699999999999</v>
      </c>
      <c r="Q143" s="178" t="s">
        <v>326</v>
      </c>
    </row>
    <row r="144" spans="1:16" ht="11.25" customHeight="1">
      <c r="A144" s="7"/>
      <c r="B144" s="7"/>
      <c r="C144" s="7"/>
      <c r="D144" s="7"/>
      <c r="E144" s="7"/>
      <c r="F144" s="203"/>
      <c r="G144" s="186"/>
      <c r="H144" s="204"/>
      <c r="J144" s="25"/>
      <c r="K144" s="148"/>
      <c r="L144" s="171"/>
      <c r="N144" s="25"/>
      <c r="O144" s="148"/>
      <c r="P144" s="171"/>
    </row>
    <row r="145" spans="1:16" ht="11.25" customHeight="1">
      <c r="A145" s="26">
        <v>2100</v>
      </c>
      <c r="B145" s="27" t="s">
        <v>218</v>
      </c>
      <c r="C145" s="7"/>
      <c r="D145" s="7"/>
      <c r="E145" s="7"/>
      <c r="F145" s="205"/>
      <c r="G145" s="186"/>
      <c r="H145" s="207">
        <f>35000</f>
        <v>35000</v>
      </c>
      <c r="J145" s="28"/>
      <c r="K145" s="148"/>
      <c r="L145" s="171">
        <f>L71</f>
        <v>40000</v>
      </c>
      <c r="N145" s="28"/>
      <c r="O145" s="148"/>
      <c r="P145" s="171">
        <f>P71</f>
        <v>40000</v>
      </c>
    </row>
    <row r="146" spans="1:16" ht="10.5" customHeight="1">
      <c r="A146" s="7"/>
      <c r="B146" s="7"/>
      <c r="C146" s="7"/>
      <c r="D146" s="7"/>
      <c r="E146" s="7"/>
      <c r="F146" s="203"/>
      <c r="G146" s="186"/>
      <c r="H146" s="204"/>
      <c r="J146" s="25"/>
      <c r="K146" s="148"/>
      <c r="L146" s="171"/>
      <c r="N146" s="25"/>
      <c r="O146" s="148"/>
      <c r="P146" s="171"/>
    </row>
    <row r="147" spans="11:16" ht="12.75">
      <c r="K147" s="155"/>
      <c r="L147" s="155"/>
      <c r="O147" s="155"/>
      <c r="P147" s="155"/>
    </row>
    <row r="148" spans="5:16" ht="12.75">
      <c r="E148" t="s">
        <v>225</v>
      </c>
      <c r="H148" s="208">
        <f>H94+H97+H98+H101</f>
        <v>107545.5</v>
      </c>
      <c r="K148" s="155"/>
      <c r="L148" s="155"/>
      <c r="O148" s="155"/>
      <c r="P148" s="155"/>
    </row>
    <row r="149" spans="5:16" ht="12.75">
      <c r="E149" t="s">
        <v>227</v>
      </c>
      <c r="H149" s="208">
        <v>5254.5</v>
      </c>
      <c r="K149" s="155"/>
      <c r="L149" s="155"/>
      <c r="O149" s="155"/>
      <c r="P149" s="155"/>
    </row>
    <row r="150" spans="5:16" ht="12.75">
      <c r="E150" t="s">
        <v>226</v>
      </c>
      <c r="H150" s="208">
        <f>H140</f>
        <v>135.94</v>
      </c>
      <c r="K150" s="155"/>
      <c r="L150" s="155"/>
      <c r="O150" s="155"/>
      <c r="P150" s="155"/>
    </row>
    <row r="151" spans="5:16" ht="12.75">
      <c r="E151" t="s">
        <v>6</v>
      </c>
      <c r="H151" s="208">
        <v>625</v>
      </c>
      <c r="K151" s="155"/>
      <c r="L151" s="155"/>
      <c r="O151" s="155"/>
      <c r="P151" s="155"/>
    </row>
    <row r="152" spans="5:16" ht="12.75">
      <c r="E152" t="s">
        <v>7</v>
      </c>
      <c r="H152" s="208">
        <v>63.82</v>
      </c>
      <c r="K152" s="155"/>
      <c r="L152" s="155"/>
      <c r="O152" s="155"/>
      <c r="P152" s="155"/>
    </row>
    <row r="153" spans="5:16" ht="12.75">
      <c r="E153" t="s">
        <v>0</v>
      </c>
      <c r="H153" s="208">
        <v>-4223.04</v>
      </c>
      <c r="K153" s="155"/>
      <c r="L153" s="155"/>
      <c r="O153" s="155"/>
      <c r="P153" s="155"/>
    </row>
    <row r="154" spans="5:16" ht="12.75">
      <c r="E154" t="s">
        <v>224</v>
      </c>
      <c r="H154" s="208">
        <f>SUM(H148:H153)</f>
        <v>109401.72000000002</v>
      </c>
      <c r="K154" s="155"/>
      <c r="L154" s="155"/>
      <c r="O154" s="155"/>
      <c r="P154" s="155"/>
    </row>
    <row r="155" spans="11:16" ht="12.75">
      <c r="K155" s="155"/>
      <c r="L155" s="155"/>
      <c r="O155" s="155"/>
      <c r="P155" s="155"/>
    </row>
    <row r="156" spans="5:16" ht="12.75">
      <c r="E156" t="s">
        <v>55</v>
      </c>
      <c r="H156" s="208">
        <f>H20</f>
        <v>327740</v>
      </c>
      <c r="K156" s="155"/>
      <c r="L156" s="155"/>
      <c r="O156" s="155"/>
      <c r="P156" s="155"/>
    </row>
    <row r="157" spans="5:16" ht="12.75">
      <c r="E157" t="s">
        <v>54</v>
      </c>
      <c r="H157" s="208">
        <f>H66+H67</f>
        <v>440</v>
      </c>
      <c r="K157" s="155"/>
      <c r="L157" s="155"/>
      <c r="O157" s="155"/>
      <c r="P157" s="155"/>
    </row>
    <row r="158" spans="5:16" ht="12.75">
      <c r="E158" t="s">
        <v>56</v>
      </c>
      <c r="H158" s="208">
        <f>H61+H62</f>
        <v>6280</v>
      </c>
      <c r="K158" s="155"/>
      <c r="L158" s="155"/>
      <c r="O158" s="155"/>
      <c r="P158" s="155"/>
    </row>
    <row r="159" spans="5:16" ht="12.75">
      <c r="E159" t="s">
        <v>57</v>
      </c>
      <c r="H159" s="208">
        <f>SUM(H156:H158)</f>
        <v>334460</v>
      </c>
      <c r="K159" s="155"/>
      <c r="L159" s="155"/>
      <c r="O159" s="155"/>
      <c r="P159" s="155"/>
    </row>
    <row r="160" spans="11:16" ht="12.75">
      <c r="K160" s="155"/>
      <c r="L160" s="155"/>
      <c r="O160" s="155"/>
      <c r="P160" s="155"/>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09"/>
  <sheetViews>
    <sheetView workbookViewId="0" topLeftCell="A1">
      <selection activeCell="A1" sqref="A1"/>
    </sheetView>
  </sheetViews>
  <sheetFormatPr defaultColWidth="9.140625" defaultRowHeight="12.75"/>
  <cols>
    <col min="1" max="8" width="9.7109375" style="0" customWidth="1"/>
    <col min="9" max="16384" width="11.421875" style="0" customWidth="1"/>
  </cols>
  <sheetData>
    <row r="1" spans="1:8" ht="12.75">
      <c r="A1" s="33" t="s">
        <v>159</v>
      </c>
      <c r="B1" s="33"/>
      <c r="C1" s="33"/>
      <c r="D1" s="33"/>
      <c r="E1" s="33"/>
      <c r="F1" s="33"/>
      <c r="G1" s="33"/>
      <c r="H1" s="33"/>
    </row>
    <row r="2" spans="1:8" ht="4.5" customHeight="1">
      <c r="A2" s="33"/>
      <c r="B2" s="33"/>
      <c r="C2" s="33"/>
      <c r="D2" s="33"/>
      <c r="E2" s="33"/>
      <c r="F2" s="33"/>
      <c r="G2" s="33"/>
      <c r="H2" s="33"/>
    </row>
    <row r="3" spans="1:8" ht="12.75">
      <c r="A3" s="33" t="s">
        <v>159</v>
      </c>
      <c r="B3" s="34" t="s">
        <v>159</v>
      </c>
      <c r="C3" s="35" t="s">
        <v>219</v>
      </c>
      <c r="D3" s="35"/>
      <c r="E3" s="35"/>
      <c r="F3" s="33"/>
      <c r="G3" s="33"/>
      <c r="H3" s="33"/>
    </row>
    <row r="4" spans="1:8" ht="12.75">
      <c r="A4" s="33" t="s">
        <v>159</v>
      </c>
      <c r="B4" s="35" t="s">
        <v>230</v>
      </c>
      <c r="C4" s="35"/>
      <c r="D4" s="35"/>
      <c r="E4" s="35"/>
      <c r="F4" s="35"/>
      <c r="G4" s="35"/>
      <c r="H4" s="33"/>
    </row>
    <row r="5" spans="1:8" ht="5.25" customHeight="1">
      <c r="A5" s="33"/>
      <c r="B5" s="33"/>
      <c r="C5" s="33"/>
      <c r="D5" s="33"/>
      <c r="E5" s="33"/>
      <c r="F5" s="33"/>
      <c r="G5" s="33"/>
      <c r="H5" s="33"/>
    </row>
    <row r="6" spans="1:8" ht="12.75">
      <c r="A6" s="33" t="s">
        <v>284</v>
      </c>
      <c r="B6" s="112"/>
      <c r="C6" s="36" t="e">
        <f>'Scenario #1'!#REF!</f>
        <v>#REF!</v>
      </c>
      <c r="D6" s="37"/>
      <c r="E6" s="37"/>
      <c r="F6" s="37"/>
      <c r="G6" s="37"/>
      <c r="H6" s="38"/>
    </row>
    <row r="7" spans="1:8" ht="12.75">
      <c r="A7" s="33"/>
      <c r="B7" s="33"/>
      <c r="C7" s="33"/>
      <c r="D7" s="33"/>
      <c r="E7" s="33"/>
      <c r="F7" s="39"/>
      <c r="G7" s="33"/>
      <c r="H7" s="33"/>
    </row>
    <row r="8" spans="1:8" ht="12.75">
      <c r="A8" s="33" t="s">
        <v>285</v>
      </c>
      <c r="B8" s="36" t="e">
        <f>'Scenario #1'!#REF!</f>
        <v>#REF!</v>
      </c>
      <c r="D8" s="33" t="s">
        <v>286</v>
      </c>
      <c r="E8" s="40" t="e">
        <f>'Scenario #1'!#REF!</f>
        <v>#REF!</v>
      </c>
      <c r="F8" s="41"/>
      <c r="G8" s="41"/>
      <c r="H8" s="42"/>
    </row>
    <row r="9" spans="1:8" ht="12.75">
      <c r="A9" s="43"/>
      <c r="B9" s="43"/>
      <c r="C9" s="43"/>
      <c r="D9" s="43"/>
      <c r="E9" s="43"/>
      <c r="F9" s="43"/>
      <c r="G9" s="43"/>
      <c r="H9" s="43"/>
    </row>
    <row r="10" spans="1:8" ht="12.75">
      <c r="A10" s="34" t="s">
        <v>287</v>
      </c>
      <c r="B10" s="33"/>
      <c r="C10" s="33"/>
      <c r="D10" s="33"/>
      <c r="E10" s="33"/>
      <c r="F10" s="33"/>
      <c r="G10" s="33"/>
      <c r="H10" s="33"/>
    </row>
    <row r="11" spans="1:8" ht="12.75">
      <c r="A11" s="33" t="s">
        <v>136</v>
      </c>
      <c r="B11" s="33"/>
      <c r="C11" s="33"/>
      <c r="D11" s="33"/>
      <c r="E11" s="33"/>
      <c r="F11" s="33"/>
      <c r="G11" s="33"/>
      <c r="H11" s="33"/>
    </row>
    <row r="12" spans="1:8" ht="12.75">
      <c r="A12" s="33" t="s">
        <v>159</v>
      </c>
      <c r="B12" s="44" t="s">
        <v>137</v>
      </c>
      <c r="C12" s="34" t="s">
        <v>138</v>
      </c>
      <c r="D12" s="113"/>
      <c r="E12" s="34" t="s">
        <v>139</v>
      </c>
      <c r="F12" s="114"/>
      <c r="G12" s="34" t="s">
        <v>73</v>
      </c>
      <c r="H12" s="115"/>
    </row>
    <row r="13" spans="1:8" ht="12.75">
      <c r="A13" s="33" t="s">
        <v>79</v>
      </c>
      <c r="B13" s="33"/>
      <c r="C13" s="33"/>
      <c r="D13" s="33"/>
      <c r="E13" s="33"/>
      <c r="F13" s="33"/>
      <c r="G13" s="33"/>
      <c r="H13" s="33"/>
    </row>
    <row r="14" spans="1:8" ht="12.75">
      <c r="A14" s="33" t="s">
        <v>275</v>
      </c>
      <c r="B14" s="33"/>
      <c r="C14" s="33"/>
      <c r="D14" s="33"/>
      <c r="E14" s="33"/>
      <c r="F14" s="33"/>
      <c r="G14" s="33"/>
      <c r="H14" s="33"/>
    </row>
    <row r="15" spans="1:8" ht="12.75">
      <c r="A15" s="33" t="s">
        <v>276</v>
      </c>
      <c r="B15" s="33"/>
      <c r="C15" s="45"/>
      <c r="D15" s="33" t="s">
        <v>277</v>
      </c>
      <c r="E15" s="33"/>
      <c r="F15" s="45"/>
      <c r="G15" s="33" t="s">
        <v>278</v>
      </c>
      <c r="H15" s="95"/>
    </row>
    <row r="16" spans="1:8" ht="12.75">
      <c r="A16" s="34" t="s">
        <v>279</v>
      </c>
      <c r="B16" s="113"/>
      <c r="C16" s="34" t="s">
        <v>280</v>
      </c>
      <c r="D16" s="34" t="s">
        <v>80</v>
      </c>
      <c r="E16" s="34"/>
      <c r="F16" s="34"/>
      <c r="G16" s="34"/>
      <c r="H16" s="33"/>
    </row>
    <row r="17" spans="1:8" ht="12.75">
      <c r="A17" s="33" t="s">
        <v>151</v>
      </c>
      <c r="B17" s="116"/>
      <c r="C17" s="46" t="e">
        <f>(F81)</f>
        <v>#REF!</v>
      </c>
      <c r="D17" s="47" t="s">
        <v>152</v>
      </c>
      <c r="E17" s="117"/>
      <c r="F17" s="47" t="s">
        <v>152</v>
      </c>
      <c r="G17" s="45"/>
      <c r="H17" s="33"/>
    </row>
    <row r="18" spans="1:8" ht="12.75">
      <c r="A18" s="33" t="s">
        <v>153</v>
      </c>
      <c r="B18" s="118"/>
      <c r="C18" s="46" t="e">
        <f>(F89)</f>
        <v>#REF!</v>
      </c>
      <c r="D18" s="47"/>
      <c r="E18" s="46"/>
      <c r="F18" s="47"/>
      <c r="G18" s="45"/>
      <c r="H18" s="33"/>
    </row>
    <row r="19" spans="1:8" ht="12.75">
      <c r="A19" s="33" t="s">
        <v>154</v>
      </c>
      <c r="B19" s="119"/>
      <c r="C19" s="46" t="e">
        <f>(F96)</f>
        <v>#REF!</v>
      </c>
      <c r="D19" s="47"/>
      <c r="E19" s="46"/>
      <c r="F19" s="47"/>
      <c r="G19" s="45"/>
      <c r="H19" s="33"/>
    </row>
    <row r="20" spans="1:8" ht="12.75">
      <c r="A20" s="33" t="s">
        <v>22</v>
      </c>
      <c r="B20" s="112"/>
      <c r="C20" s="46" t="e">
        <f>(F98)</f>
        <v>#REF!</v>
      </c>
      <c r="D20" s="47"/>
      <c r="E20" s="46"/>
      <c r="F20" s="47"/>
      <c r="G20" s="45"/>
      <c r="H20" s="33"/>
    </row>
    <row r="21" spans="1:8" ht="12.75">
      <c r="A21" s="33" t="s">
        <v>23</v>
      </c>
      <c r="B21" s="120"/>
      <c r="C21" s="46" t="e">
        <f>(F103)</f>
        <v>#REF!</v>
      </c>
      <c r="D21" s="47"/>
      <c r="E21" s="46"/>
      <c r="F21" s="47"/>
      <c r="G21" s="45"/>
      <c r="H21" s="33"/>
    </row>
    <row r="22" spans="1:8" ht="12.75">
      <c r="A22" s="33" t="s">
        <v>24</v>
      </c>
      <c r="B22" s="118"/>
      <c r="C22" s="48" t="e">
        <f>SUM(C17:C21)</f>
        <v>#REF!</v>
      </c>
      <c r="D22" s="47" t="s">
        <v>152</v>
      </c>
      <c r="E22" s="117"/>
      <c r="F22" s="47" t="s">
        <v>152</v>
      </c>
      <c r="G22" s="43"/>
      <c r="H22" s="33"/>
    </row>
    <row r="23" spans="1:8" ht="12.75">
      <c r="A23" s="33" t="s">
        <v>25</v>
      </c>
      <c r="B23" s="121"/>
      <c r="C23" s="46" t="e">
        <f>'Scenario #1'!#REF!</f>
        <v>#REF!</v>
      </c>
      <c r="D23" s="47"/>
      <c r="E23" s="46"/>
      <c r="F23" s="47"/>
      <c r="G23" s="45"/>
      <c r="H23" s="33"/>
    </row>
    <row r="24" spans="1:8" ht="12.75">
      <c r="A24" s="33" t="s">
        <v>281</v>
      </c>
      <c r="B24" s="122"/>
      <c r="C24" s="48" t="e">
        <f>(C22+C23)</f>
        <v>#REF!</v>
      </c>
      <c r="D24" s="47" t="s">
        <v>152</v>
      </c>
      <c r="E24" s="117"/>
      <c r="F24" s="47" t="s">
        <v>152</v>
      </c>
      <c r="G24" s="43"/>
      <c r="H24" s="33"/>
    </row>
    <row r="25" spans="1:8" ht="12.75">
      <c r="A25" s="34" t="s">
        <v>140</v>
      </c>
      <c r="B25" s="33"/>
      <c r="C25" s="47"/>
      <c r="D25" s="47"/>
      <c r="E25" s="47"/>
      <c r="F25" s="47"/>
      <c r="G25" s="33"/>
      <c r="H25" s="33"/>
    </row>
    <row r="26" spans="1:8" ht="12.75">
      <c r="A26" s="33" t="s">
        <v>288</v>
      </c>
      <c r="B26" s="123"/>
      <c r="C26" s="46" t="e">
        <f>(D130)</f>
        <v>#REF!</v>
      </c>
      <c r="D26" s="47" t="s">
        <v>152</v>
      </c>
      <c r="E26" s="117"/>
      <c r="F26" s="47" t="s">
        <v>152</v>
      </c>
      <c r="G26" s="45"/>
      <c r="H26" s="33"/>
    </row>
    <row r="27" spans="1:8" ht="12.75">
      <c r="A27" s="33" t="s">
        <v>289</v>
      </c>
      <c r="B27" s="112"/>
      <c r="C27" s="46" t="e">
        <f>(D135)</f>
        <v>#REF!</v>
      </c>
      <c r="D27" s="47"/>
      <c r="E27" s="46"/>
      <c r="F27" s="47"/>
      <c r="G27" s="45"/>
      <c r="H27" s="33"/>
    </row>
    <row r="28" spans="1:8" ht="12.75">
      <c r="A28" s="33" t="s">
        <v>290</v>
      </c>
      <c r="B28" s="124"/>
      <c r="C28" s="46" t="e">
        <f>(D139)</f>
        <v>#REF!</v>
      </c>
      <c r="D28" s="47"/>
      <c r="E28" s="46"/>
      <c r="F28" s="47"/>
      <c r="G28" s="45"/>
      <c r="H28" s="33"/>
    </row>
    <row r="29" spans="1:8" ht="12.75">
      <c r="A29" s="33" t="s">
        <v>291</v>
      </c>
      <c r="B29" s="125"/>
      <c r="C29" s="46" t="e">
        <f>(D142)</f>
        <v>#REF!</v>
      </c>
      <c r="D29" s="47"/>
      <c r="E29" s="46"/>
      <c r="F29" s="47"/>
      <c r="G29" s="45"/>
      <c r="H29" s="33"/>
    </row>
    <row r="30" spans="1:8" ht="12.75">
      <c r="A30" s="33" t="s">
        <v>292</v>
      </c>
      <c r="B30" s="117"/>
      <c r="C30" s="46" t="e">
        <f>(D156)</f>
        <v>#REF!</v>
      </c>
      <c r="D30" s="47"/>
      <c r="E30" s="46"/>
      <c r="F30" s="47"/>
      <c r="G30" s="45"/>
      <c r="H30" s="33"/>
    </row>
    <row r="31" spans="1:8" ht="12.75">
      <c r="A31" s="33" t="s">
        <v>293</v>
      </c>
      <c r="B31" s="120"/>
      <c r="C31" s="46" t="e">
        <f>(D160)</f>
        <v>#REF!</v>
      </c>
      <c r="D31" s="47"/>
      <c r="E31" s="46"/>
      <c r="F31" s="47"/>
      <c r="G31" s="45"/>
      <c r="H31" s="33"/>
    </row>
    <row r="32" spans="1:8" ht="12.75">
      <c r="A32" s="33" t="s">
        <v>294</v>
      </c>
      <c r="B32" s="116"/>
      <c r="C32" s="48" t="e">
        <f>SUM(C26:C31)</f>
        <v>#REF!</v>
      </c>
      <c r="D32" s="47" t="s">
        <v>152</v>
      </c>
      <c r="E32" s="117"/>
      <c r="F32" s="47" t="s">
        <v>152</v>
      </c>
      <c r="G32" s="43"/>
      <c r="H32" s="33"/>
    </row>
    <row r="33" spans="1:8" ht="12.75">
      <c r="A33" s="33" t="s">
        <v>295</v>
      </c>
      <c r="B33" s="112"/>
      <c r="C33" s="46" t="e">
        <f>'Scenario #1'!#REF!</f>
        <v>#REF!</v>
      </c>
      <c r="D33" s="47"/>
      <c r="E33" s="46"/>
      <c r="F33" s="47"/>
      <c r="G33" s="45"/>
      <c r="H33" s="33"/>
    </row>
    <row r="34" spans="1:8" ht="12.75">
      <c r="A34" s="33" t="s">
        <v>296</v>
      </c>
      <c r="B34" s="126"/>
      <c r="C34" s="48" t="e">
        <f>(C32+C33)</f>
        <v>#REF!</v>
      </c>
      <c r="D34" s="47" t="s">
        <v>152</v>
      </c>
      <c r="E34" s="117"/>
      <c r="F34" s="47" t="s">
        <v>152</v>
      </c>
      <c r="G34" s="43"/>
      <c r="H34" s="33"/>
    </row>
    <row r="35" spans="1:8" ht="12.75">
      <c r="A35" s="34" t="s">
        <v>297</v>
      </c>
      <c r="B35" s="33"/>
      <c r="C35" s="47"/>
      <c r="D35" s="47"/>
      <c r="E35" s="47"/>
      <c r="F35" s="47"/>
      <c r="G35" s="47"/>
      <c r="H35" s="33"/>
    </row>
    <row r="36" spans="1:8" ht="12.75">
      <c r="A36" s="33" t="s">
        <v>298</v>
      </c>
      <c r="B36" s="33"/>
      <c r="C36" s="46"/>
      <c r="D36" s="46" t="e">
        <f>(C24)</f>
        <v>#REF!</v>
      </c>
      <c r="E36" s="47" t="s">
        <v>299</v>
      </c>
      <c r="F36" s="126"/>
      <c r="G36" s="46" t="s">
        <v>159</v>
      </c>
      <c r="H36" s="46" t="e">
        <f>(C34)</f>
        <v>#REF!</v>
      </c>
    </row>
    <row r="37" spans="2:7" ht="12.75">
      <c r="B37" s="33" t="s">
        <v>300</v>
      </c>
      <c r="C37" s="47"/>
      <c r="D37" s="47"/>
      <c r="E37" s="47"/>
      <c r="F37" s="46"/>
      <c r="G37" s="46" t="e">
        <f>(D36-H36)</f>
        <v>#REF!</v>
      </c>
    </row>
    <row r="38" spans="1:8" ht="12.75">
      <c r="A38" s="34" t="s">
        <v>301</v>
      </c>
      <c r="B38" s="33"/>
      <c r="C38" s="33"/>
      <c r="D38" s="33"/>
      <c r="E38" s="33" t="s">
        <v>118</v>
      </c>
      <c r="F38" s="33"/>
      <c r="G38" s="33"/>
      <c r="H38" s="33"/>
    </row>
    <row r="39" spans="1:8" ht="12.75">
      <c r="A39" s="33" t="s">
        <v>119</v>
      </c>
      <c r="B39" s="33"/>
      <c r="C39" s="33"/>
      <c r="D39" s="33"/>
      <c r="E39" s="33" t="s">
        <v>120</v>
      </c>
      <c r="F39" s="124"/>
      <c r="G39" s="33" t="s">
        <v>121</v>
      </c>
      <c r="H39" s="95"/>
    </row>
    <row r="40" spans="1:7" ht="12.75">
      <c r="A40" s="33" t="s">
        <v>122</v>
      </c>
      <c r="B40" s="45"/>
      <c r="C40" s="45"/>
      <c r="D40" s="33"/>
      <c r="E40" s="49"/>
      <c r="F40" s="33"/>
      <c r="G40" s="46" t="e">
        <f>(G37*E40)</f>
        <v>#REF!</v>
      </c>
    </row>
    <row r="41" spans="1:7" ht="12.75">
      <c r="A41" s="33" t="s">
        <v>123</v>
      </c>
      <c r="B41" s="45"/>
      <c r="C41" s="45"/>
      <c r="D41" s="33"/>
      <c r="E41" s="49"/>
      <c r="F41" s="33"/>
      <c r="G41" s="46" t="e">
        <f>(G37*E41)</f>
        <v>#REF!</v>
      </c>
    </row>
    <row r="42" spans="1:7" ht="12.75">
      <c r="A42" s="33" t="s">
        <v>124</v>
      </c>
      <c r="B42" s="45"/>
      <c r="C42" s="45"/>
      <c r="D42" s="33"/>
      <c r="E42" s="49"/>
      <c r="F42" s="33"/>
      <c r="G42" s="46" t="e">
        <f>(G37*E42)</f>
        <v>#REF!</v>
      </c>
    </row>
    <row r="43" spans="1:7" ht="12.75">
      <c r="A43" s="33" t="s">
        <v>125</v>
      </c>
      <c r="B43" s="45"/>
      <c r="C43" s="45"/>
      <c r="D43" s="33"/>
      <c r="E43" s="49"/>
      <c r="F43" s="33"/>
      <c r="G43" s="46" t="e">
        <f>(G37*E43)</f>
        <v>#REF!</v>
      </c>
    </row>
    <row r="44" spans="1:7" ht="12.75">
      <c r="A44" s="33"/>
      <c r="B44" s="33"/>
      <c r="C44" s="33"/>
      <c r="D44" s="33"/>
      <c r="E44" s="33" t="s">
        <v>126</v>
      </c>
      <c r="F44" s="127"/>
      <c r="G44" s="48" t="e">
        <f>SUM(G40:G43)</f>
        <v>#REF!</v>
      </c>
    </row>
    <row r="45" spans="1:8" ht="12.75">
      <c r="A45" s="34" t="s">
        <v>127</v>
      </c>
      <c r="B45" s="33"/>
      <c r="C45" s="33"/>
      <c r="D45" s="33"/>
      <c r="E45" s="33"/>
      <c r="F45" s="33"/>
      <c r="G45" s="33"/>
      <c r="H45" s="33"/>
    </row>
    <row r="46" spans="1:8" ht="12.75">
      <c r="A46" s="33" t="s">
        <v>128</v>
      </c>
      <c r="B46" s="33"/>
      <c r="C46" s="45"/>
      <c r="D46" s="45"/>
      <c r="E46" s="45"/>
      <c r="F46" s="45"/>
      <c r="G46" s="45"/>
      <c r="H46" s="45"/>
    </row>
    <row r="47" spans="1:8" ht="12.75">
      <c r="A47" s="33" t="s">
        <v>129</v>
      </c>
      <c r="B47" s="45"/>
      <c r="C47" s="45"/>
      <c r="D47" s="45"/>
      <c r="E47" s="45"/>
      <c r="F47" s="45"/>
      <c r="G47" s="45"/>
      <c r="H47" s="45"/>
    </row>
    <row r="48" spans="1:8" ht="12.75">
      <c r="A48" s="33" t="s">
        <v>130</v>
      </c>
      <c r="B48" s="33"/>
      <c r="C48" s="45"/>
      <c r="D48" s="45"/>
      <c r="E48" s="45"/>
      <c r="F48" s="33" t="s">
        <v>131</v>
      </c>
      <c r="G48" s="45"/>
      <c r="H48" s="45"/>
    </row>
    <row r="49" spans="1:8" ht="12.75">
      <c r="A49" s="33" t="s">
        <v>269</v>
      </c>
      <c r="B49" s="33"/>
      <c r="C49" s="33"/>
      <c r="D49" s="33"/>
      <c r="E49" s="44"/>
      <c r="F49" s="33" t="s">
        <v>270</v>
      </c>
      <c r="G49" s="114"/>
      <c r="H49" s="33" t="s">
        <v>271</v>
      </c>
    </row>
    <row r="50" spans="1:8" ht="12.75">
      <c r="A50" s="34" t="s">
        <v>272</v>
      </c>
      <c r="B50" s="33"/>
      <c r="C50" s="33"/>
      <c r="D50" s="33"/>
      <c r="E50" s="33"/>
      <c r="F50" s="33"/>
      <c r="G50" s="33"/>
      <c r="H50" s="33"/>
    </row>
    <row r="51" spans="1:8" ht="12.75">
      <c r="A51" s="33" t="s">
        <v>273</v>
      </c>
      <c r="B51" s="45"/>
      <c r="C51" s="45"/>
      <c r="D51" s="45"/>
      <c r="E51" s="45"/>
      <c r="F51" s="33" t="s">
        <v>141</v>
      </c>
      <c r="G51" s="45" t="s">
        <v>142</v>
      </c>
      <c r="H51" s="113"/>
    </row>
    <row r="52" spans="1:8" ht="12.75">
      <c r="A52" s="33" t="s">
        <v>143</v>
      </c>
      <c r="B52" s="45"/>
      <c r="C52" s="45"/>
      <c r="D52" s="45"/>
      <c r="E52" s="45"/>
      <c r="F52" s="45"/>
      <c r="G52" s="45"/>
      <c r="H52" s="45"/>
    </row>
    <row r="53" spans="1:8" ht="12.75">
      <c r="A53" s="33" t="s">
        <v>144</v>
      </c>
      <c r="B53" s="33"/>
      <c r="C53" s="45"/>
      <c r="D53" s="45"/>
      <c r="E53" s="45"/>
      <c r="F53" s="45"/>
      <c r="G53" s="45"/>
      <c r="H53" s="45"/>
    </row>
    <row r="54" spans="1:8" ht="12.75">
      <c r="A54" s="34" t="s">
        <v>93</v>
      </c>
      <c r="B54" s="33"/>
      <c r="C54" s="45"/>
      <c r="D54" s="45"/>
      <c r="E54" s="34" t="s">
        <v>4</v>
      </c>
      <c r="F54" s="33"/>
      <c r="G54" s="45"/>
      <c r="H54" s="45"/>
    </row>
    <row r="55" spans="1:8" ht="12.75">
      <c r="A55" s="33"/>
      <c r="B55" s="33"/>
      <c r="C55" s="33"/>
      <c r="D55" s="33" t="s">
        <v>5</v>
      </c>
      <c r="E55" s="45"/>
      <c r="F55" s="33"/>
      <c r="G55" s="33"/>
      <c r="H55" s="33"/>
    </row>
    <row r="56" spans="1:8" ht="12.75">
      <c r="A56" s="128"/>
      <c r="B56" s="34" t="s">
        <v>159</v>
      </c>
      <c r="C56" s="34" t="s">
        <v>35</v>
      </c>
      <c r="D56" s="33"/>
      <c r="E56" s="33"/>
      <c r="F56" s="33"/>
      <c r="G56" s="33"/>
      <c r="H56" s="33"/>
    </row>
    <row r="57" spans="1:8" ht="12.75">
      <c r="A57" s="128"/>
      <c r="B57" s="34" t="s">
        <v>27</v>
      </c>
      <c r="C57" s="34"/>
      <c r="D57" s="33"/>
      <c r="E57" s="33"/>
      <c r="F57" s="33"/>
      <c r="G57" s="33"/>
      <c r="H57" s="33"/>
    </row>
    <row r="58" spans="1:8" ht="12.75">
      <c r="A58" s="33"/>
      <c r="B58" s="33"/>
      <c r="C58" s="34" t="s">
        <v>28</v>
      </c>
      <c r="D58" s="33"/>
      <c r="E58" s="33"/>
      <c r="F58" s="33"/>
      <c r="G58" s="33"/>
      <c r="H58" s="33"/>
    </row>
    <row r="59" spans="1:8" ht="12.75">
      <c r="A59" s="33" t="s">
        <v>29</v>
      </c>
      <c r="B59" s="34" t="s">
        <v>159</v>
      </c>
      <c r="C59" s="35" t="s">
        <v>219</v>
      </c>
      <c r="D59" s="35"/>
      <c r="E59" s="35"/>
      <c r="F59" s="33"/>
      <c r="G59" s="33"/>
      <c r="H59" s="33"/>
    </row>
    <row r="60" spans="1:8" ht="12.75">
      <c r="A60" s="129"/>
      <c r="B60" s="34" t="s">
        <v>30</v>
      </c>
      <c r="C60" s="33"/>
      <c r="D60" s="33"/>
      <c r="E60" s="33"/>
      <c r="F60" s="33"/>
      <c r="G60" s="33"/>
      <c r="H60" s="33"/>
    </row>
    <row r="61" spans="1:8" ht="12.75">
      <c r="A61" s="33"/>
      <c r="B61" s="33"/>
      <c r="C61" s="33"/>
      <c r="D61" s="33" t="s">
        <v>159</v>
      </c>
      <c r="E61" s="33"/>
      <c r="F61" s="33"/>
      <c r="G61" s="33"/>
      <c r="H61" s="33"/>
    </row>
    <row r="62" spans="1:8" ht="12.75">
      <c r="A62" s="33" t="s">
        <v>161</v>
      </c>
      <c r="B62" s="33"/>
      <c r="C62" s="33"/>
      <c r="D62" s="33"/>
      <c r="E62" s="33"/>
      <c r="F62" s="33"/>
      <c r="G62" s="33"/>
      <c r="H62" s="33"/>
    </row>
    <row r="63" spans="1:8" ht="12.75">
      <c r="A63" s="33" t="s">
        <v>162</v>
      </c>
      <c r="B63" s="33"/>
      <c r="C63" s="33"/>
      <c r="D63" s="33"/>
      <c r="E63" s="33"/>
      <c r="F63" s="33" t="s">
        <v>163</v>
      </c>
      <c r="G63" s="33"/>
      <c r="H63" s="33"/>
    </row>
    <row r="64" spans="1:8" ht="12.75">
      <c r="A64" s="33" t="s">
        <v>164</v>
      </c>
      <c r="B64" s="33"/>
      <c r="C64" s="33"/>
      <c r="D64" s="33"/>
      <c r="E64" s="33"/>
      <c r="F64" s="33"/>
      <c r="G64" s="33"/>
      <c r="H64" s="33"/>
    </row>
    <row r="65" spans="1:8" ht="12.75">
      <c r="A65" s="33" t="s">
        <v>165</v>
      </c>
      <c r="B65" s="33" t="s">
        <v>169</v>
      </c>
      <c r="C65" s="33"/>
      <c r="D65" s="33"/>
      <c r="E65" s="33"/>
      <c r="F65" s="33"/>
      <c r="G65" s="33"/>
      <c r="H65" s="33"/>
    </row>
    <row r="66" spans="1:8" ht="12.75">
      <c r="A66" s="33" t="s">
        <v>62</v>
      </c>
      <c r="B66" s="33"/>
      <c r="C66" s="45"/>
      <c r="D66" s="45"/>
      <c r="E66" s="45"/>
      <c r="F66" s="45"/>
      <c r="G66" s="45"/>
      <c r="H66" s="45"/>
    </row>
    <row r="67" spans="1:8" ht="12.75">
      <c r="A67" s="45" t="s">
        <v>159</v>
      </c>
      <c r="B67" s="45"/>
      <c r="C67" s="45"/>
      <c r="D67" s="45"/>
      <c r="E67" s="45"/>
      <c r="F67" s="33" t="s">
        <v>63</v>
      </c>
      <c r="G67" s="45"/>
      <c r="H67" s="45"/>
    </row>
    <row r="68" spans="1:8" ht="12.75">
      <c r="A68" s="33"/>
      <c r="B68" s="33"/>
      <c r="C68" s="33"/>
      <c r="D68" s="34" t="s">
        <v>64</v>
      </c>
      <c r="E68" s="33"/>
      <c r="F68" s="33"/>
      <c r="G68" s="33"/>
      <c r="H68" s="33"/>
    </row>
    <row r="69" spans="1:8" ht="12.75">
      <c r="A69" s="33"/>
      <c r="B69" s="33"/>
      <c r="C69" s="33"/>
      <c r="D69" s="33"/>
      <c r="E69" s="33"/>
      <c r="F69" s="33"/>
      <c r="G69" s="33"/>
      <c r="H69" s="33"/>
    </row>
    <row r="70" spans="1:8" ht="12.75">
      <c r="A70" s="34" t="s">
        <v>251</v>
      </c>
      <c r="B70" s="130"/>
      <c r="C70" s="34" t="s">
        <v>65</v>
      </c>
      <c r="D70" s="34" t="s">
        <v>66</v>
      </c>
      <c r="E70" s="34" t="s">
        <v>67</v>
      </c>
      <c r="F70" s="34" t="s">
        <v>68</v>
      </c>
      <c r="G70" s="34" t="s">
        <v>274</v>
      </c>
      <c r="H70" s="34" t="s">
        <v>190</v>
      </c>
    </row>
    <row r="71" spans="1:8" ht="12.75">
      <c r="A71" s="33"/>
      <c r="B71" s="33"/>
      <c r="C71" s="33"/>
      <c r="D71" s="33"/>
      <c r="E71" s="33"/>
      <c r="F71" s="33"/>
      <c r="G71" s="34" t="s">
        <v>191</v>
      </c>
      <c r="H71" s="34" t="s">
        <v>191</v>
      </c>
    </row>
    <row r="72" spans="1:8" ht="12.75">
      <c r="A72" s="33" t="s">
        <v>192</v>
      </c>
      <c r="B72" s="112"/>
      <c r="C72" s="50" t="e">
        <f>'Scenario #1'!#REF!</f>
        <v>#REF!</v>
      </c>
      <c r="D72" s="51"/>
      <c r="E72" s="33"/>
      <c r="F72" s="52" t="e">
        <f>'Scenario #1'!#REF!</f>
        <v>#REF!</v>
      </c>
      <c r="G72" s="52"/>
      <c r="H72" s="50"/>
    </row>
    <row r="73" spans="1:8" ht="12.75">
      <c r="A73" s="33" t="s">
        <v>193</v>
      </c>
      <c r="B73" s="117"/>
      <c r="C73" s="50" t="e">
        <f>'Scenario #1'!#REF!</f>
        <v>#REF!</v>
      </c>
      <c r="D73" s="51"/>
      <c r="E73" s="33"/>
      <c r="F73" s="52" t="e">
        <f>'Scenario #1'!#REF!</f>
        <v>#REF!</v>
      </c>
      <c r="G73" s="52"/>
      <c r="H73" s="50"/>
    </row>
    <row r="74" spans="1:8" ht="12.75">
      <c r="A74" s="33" t="s">
        <v>194</v>
      </c>
      <c r="B74" s="125"/>
      <c r="C74" s="50" t="e">
        <f>'Scenario #1'!#REF!</f>
        <v>#REF!</v>
      </c>
      <c r="D74" s="51" t="s">
        <v>159</v>
      </c>
      <c r="E74" s="33" t="s">
        <v>159</v>
      </c>
      <c r="F74" s="52" t="e">
        <f>'Scenario #1'!#REF!</f>
        <v>#REF!</v>
      </c>
      <c r="G74" s="52"/>
      <c r="H74" s="50"/>
    </row>
    <row r="75" spans="1:8" ht="12.75">
      <c r="A75" s="33" t="s">
        <v>195</v>
      </c>
      <c r="B75" s="125"/>
      <c r="C75" s="53" t="e">
        <f>'Scenario #1'!#REF!</f>
        <v>#REF!</v>
      </c>
      <c r="D75" s="51"/>
      <c r="E75" s="33"/>
      <c r="F75" s="52" t="e">
        <f>'Scenario #1'!#REF!</f>
        <v>#REF!</v>
      </c>
      <c r="G75" s="52"/>
      <c r="H75" s="50"/>
    </row>
    <row r="76" spans="1:8" ht="12.75">
      <c r="A76" s="33" t="s">
        <v>196</v>
      </c>
      <c r="B76" s="130"/>
      <c r="C76" s="50" t="e">
        <f>'Scenario #1'!#REF!</f>
        <v>#REF!</v>
      </c>
      <c r="D76" s="51"/>
      <c r="E76" s="33"/>
      <c r="F76" s="52" t="e">
        <f>'Scenario #1'!#REF!</f>
        <v>#REF!</v>
      </c>
      <c r="G76" s="52"/>
      <c r="H76" s="50"/>
    </row>
    <row r="77" spans="1:8" ht="12.75">
      <c r="A77" s="33" t="s">
        <v>197</v>
      </c>
      <c r="B77" s="130"/>
      <c r="C77" s="50" t="e">
        <f>'Scenario #1'!#REF!</f>
        <v>#REF!</v>
      </c>
      <c r="D77" s="51"/>
      <c r="E77" s="33"/>
      <c r="F77" s="52" t="e">
        <f>'Scenario #1'!#REF!</f>
        <v>#REF!</v>
      </c>
      <c r="G77" s="52"/>
      <c r="H77" s="50"/>
    </row>
    <row r="78" spans="1:8" ht="12.75">
      <c r="A78" s="33" t="s">
        <v>198</v>
      </c>
      <c r="B78" s="95"/>
      <c r="C78" s="50" t="e">
        <f>'Scenario #1'!#REF!</f>
        <v>#REF!</v>
      </c>
      <c r="D78" s="45"/>
      <c r="E78" s="33"/>
      <c r="F78" s="52" t="e">
        <f>'Scenario #1'!#REF!</f>
        <v>#REF!</v>
      </c>
      <c r="G78" s="52"/>
      <c r="H78" s="50"/>
    </row>
    <row r="79" spans="1:8" ht="12.75">
      <c r="A79" s="33" t="s">
        <v>199</v>
      </c>
      <c r="B79" s="95"/>
      <c r="C79" s="50" t="e">
        <f>'Scenario #1'!#REF!</f>
        <v>#REF!</v>
      </c>
      <c r="E79" s="33" t="s">
        <v>159</v>
      </c>
      <c r="F79" s="52" t="e">
        <f>'Scenario #1'!#REF!</f>
        <v>#REF!</v>
      </c>
      <c r="G79" s="52"/>
      <c r="H79" s="50"/>
    </row>
    <row r="80" spans="1:8" ht="12.75">
      <c r="A80" s="33" t="s">
        <v>70</v>
      </c>
      <c r="B80" s="33"/>
      <c r="C80" s="50"/>
      <c r="D80" s="45"/>
      <c r="E80" s="33"/>
      <c r="F80" s="52">
        <v>0</v>
      </c>
      <c r="G80" s="52"/>
      <c r="H80" s="50"/>
    </row>
    <row r="81" spans="1:8" ht="12.75">
      <c r="A81" s="33" t="s">
        <v>159</v>
      </c>
      <c r="B81" s="131"/>
      <c r="C81" s="33" t="s">
        <v>159</v>
      </c>
      <c r="D81" s="131"/>
      <c r="E81" s="34" t="s">
        <v>211</v>
      </c>
      <c r="F81" s="54" t="e">
        <f>SUM(F72:F80)</f>
        <v>#REF!</v>
      </c>
      <c r="G81" s="54"/>
      <c r="H81" s="55"/>
    </row>
    <row r="82" spans="1:8" ht="12.75">
      <c r="A82" s="33"/>
      <c r="B82" s="33"/>
      <c r="C82" s="33"/>
      <c r="D82" s="33"/>
      <c r="E82" s="33"/>
      <c r="F82" s="47"/>
      <c r="G82" s="47"/>
      <c r="H82" s="33"/>
    </row>
    <row r="83" spans="1:8" ht="12.75">
      <c r="A83" s="34" t="s">
        <v>83</v>
      </c>
      <c r="B83" s="33"/>
      <c r="C83" s="33"/>
      <c r="D83" s="33"/>
      <c r="E83" s="33"/>
      <c r="F83" s="47"/>
      <c r="G83" s="47"/>
      <c r="H83" s="33"/>
    </row>
    <row r="84" spans="1:8" ht="12.75">
      <c r="A84" s="33" t="s">
        <v>84</v>
      </c>
      <c r="B84" s="33"/>
      <c r="C84" s="50"/>
      <c r="D84" s="56"/>
      <c r="E84" s="33"/>
      <c r="F84" s="52" t="e">
        <f>'Scenario #1'!#REF!</f>
        <v>#REF!</v>
      </c>
      <c r="G84" s="52"/>
      <c r="H84" s="50"/>
    </row>
    <row r="85" spans="1:8" ht="12.75">
      <c r="A85" s="33" t="s">
        <v>170</v>
      </c>
      <c r="B85" s="114"/>
      <c r="C85" s="50" t="e">
        <f>'Scenario #1'!#REF!</f>
        <v>#REF!</v>
      </c>
      <c r="D85" s="56" t="s">
        <v>159</v>
      </c>
      <c r="E85" s="131"/>
      <c r="F85" s="52" t="e">
        <f>'Scenario #1'!#REF!</f>
        <v>#REF!</v>
      </c>
      <c r="G85" s="52"/>
      <c r="H85" s="50"/>
    </row>
    <row r="86" spans="1:8" ht="12.75">
      <c r="A86" s="33" t="s">
        <v>171</v>
      </c>
      <c r="B86" s="95"/>
      <c r="C86" s="50" t="e">
        <f>'Scenario #1'!#REF!</f>
        <v>#REF!</v>
      </c>
      <c r="E86" s="33" t="s">
        <v>159</v>
      </c>
      <c r="F86" s="52" t="e">
        <f>'Scenario #1'!#REF!</f>
        <v>#REF!</v>
      </c>
      <c r="G86" s="52"/>
      <c r="H86" s="50"/>
    </row>
    <row r="87" spans="1:8" ht="12.75">
      <c r="A87" s="33" t="s">
        <v>85</v>
      </c>
      <c r="B87" s="112"/>
      <c r="C87" s="50" t="s">
        <v>159</v>
      </c>
      <c r="D87" s="56"/>
      <c r="E87" s="33"/>
      <c r="F87" s="52" t="e">
        <f>'Scenario #1'!#REF!</f>
        <v>#REF!</v>
      </c>
      <c r="G87" s="52"/>
      <c r="H87" s="50"/>
    </row>
    <row r="88" spans="1:8" ht="12.75">
      <c r="A88" s="33" t="s">
        <v>86</v>
      </c>
      <c r="B88" s="33"/>
      <c r="C88" s="50"/>
      <c r="D88" s="56"/>
      <c r="E88" s="33"/>
      <c r="F88" s="52" t="e">
        <f>'Scenario #1'!#REF!</f>
        <v>#REF!</v>
      </c>
      <c r="G88" s="52"/>
      <c r="H88" s="50"/>
    </row>
    <row r="89" spans="1:8" ht="12.75">
      <c r="A89" s="33" t="s">
        <v>159</v>
      </c>
      <c r="B89" s="131"/>
      <c r="C89" s="33" t="s">
        <v>159</v>
      </c>
      <c r="D89" s="131"/>
      <c r="E89" s="34" t="s">
        <v>211</v>
      </c>
      <c r="F89" s="54" t="e">
        <f>SUM(F84:F88)</f>
        <v>#REF!</v>
      </c>
      <c r="G89" s="54"/>
      <c r="H89" s="55"/>
    </row>
    <row r="90" spans="1:8" ht="12.75">
      <c r="A90" s="33"/>
      <c r="B90" s="33"/>
      <c r="C90" s="33"/>
      <c r="D90" s="33"/>
      <c r="E90" s="33"/>
      <c r="F90" s="47"/>
      <c r="G90" s="47"/>
      <c r="H90" s="33"/>
    </row>
    <row r="91" spans="1:8" ht="12.75">
      <c r="A91" s="34" t="s">
        <v>172</v>
      </c>
      <c r="B91" s="33" t="s">
        <v>159</v>
      </c>
      <c r="C91" s="131"/>
      <c r="D91" s="33" t="s">
        <v>159</v>
      </c>
      <c r="E91" s="131"/>
      <c r="F91" s="47" t="s">
        <v>159</v>
      </c>
      <c r="G91" s="47"/>
      <c r="H91" s="33"/>
    </row>
    <row r="92" spans="1:8" ht="12.75">
      <c r="A92" s="33" t="s">
        <v>173</v>
      </c>
      <c r="B92" s="132"/>
      <c r="C92" s="50" t="e">
        <f>'Scenario #1'!#REF!</f>
        <v>#REF!</v>
      </c>
      <c r="D92" s="51"/>
      <c r="E92" s="33"/>
      <c r="F92" s="52" t="e">
        <f>'Scenario #1'!#REF!</f>
        <v>#REF!</v>
      </c>
      <c r="G92" s="52"/>
      <c r="H92" s="50"/>
    </row>
    <row r="93" spans="1:8" ht="12.75">
      <c r="A93" s="33" t="s">
        <v>174</v>
      </c>
      <c r="B93" s="132"/>
      <c r="C93" s="50" t="e">
        <f>'Scenario #1'!#REF!</f>
        <v>#REF!</v>
      </c>
      <c r="D93" s="51"/>
      <c r="E93" s="33"/>
      <c r="F93" s="52" t="e">
        <f>'Scenario #1'!#REF!</f>
        <v>#REF!</v>
      </c>
      <c r="G93" s="52"/>
      <c r="H93" s="50"/>
    </row>
    <row r="94" spans="1:8" ht="12.75">
      <c r="A94" s="33" t="s">
        <v>175</v>
      </c>
      <c r="B94" s="115"/>
      <c r="C94" s="50" t="e">
        <f>'Scenario #1'!#REF!</f>
        <v>#REF!</v>
      </c>
      <c r="D94" s="51"/>
      <c r="E94" s="33"/>
      <c r="F94" s="52" t="e">
        <f>'Scenario #1'!#REF!</f>
        <v>#REF!</v>
      </c>
      <c r="G94" s="52"/>
      <c r="H94" s="50"/>
    </row>
    <row r="95" spans="1:8" ht="12.75">
      <c r="A95" s="33"/>
      <c r="B95" s="33"/>
      <c r="C95" s="50"/>
      <c r="D95" s="51"/>
      <c r="E95" s="33"/>
      <c r="F95" s="52">
        <f>(C95*D95)</f>
        <v>0</v>
      </c>
      <c r="G95" s="52"/>
      <c r="H95" s="50"/>
    </row>
    <row r="96" spans="1:8" ht="12.75">
      <c r="A96" s="33" t="s">
        <v>159</v>
      </c>
      <c r="B96" s="131"/>
      <c r="C96" s="33" t="s">
        <v>159</v>
      </c>
      <c r="D96" s="131"/>
      <c r="E96" s="34" t="s">
        <v>211</v>
      </c>
      <c r="F96" s="54" t="e">
        <f>SUM(F92:F95)</f>
        <v>#REF!</v>
      </c>
      <c r="G96" s="54"/>
      <c r="H96" s="55"/>
    </row>
    <row r="97" spans="1:8" ht="12.75">
      <c r="A97" s="34" t="s">
        <v>176</v>
      </c>
      <c r="B97" s="33"/>
      <c r="C97" s="33"/>
      <c r="D97" s="33"/>
      <c r="E97" s="33" t="s">
        <v>159</v>
      </c>
      <c r="F97" s="47"/>
      <c r="G97" s="47"/>
      <c r="H97" s="33"/>
    </row>
    <row r="98" spans="1:8" ht="12.75">
      <c r="A98" s="33" t="s">
        <v>87</v>
      </c>
      <c r="B98" s="33"/>
      <c r="C98" s="33"/>
      <c r="D98" s="33"/>
      <c r="E98" s="33"/>
      <c r="F98" s="54" t="e">
        <f>'Scenario #1'!#REF!</f>
        <v>#REF!</v>
      </c>
      <c r="G98" s="54"/>
      <c r="H98" s="55"/>
    </row>
    <row r="99" spans="1:8" ht="12.75">
      <c r="A99" s="33" t="s">
        <v>159</v>
      </c>
      <c r="B99" s="33"/>
      <c r="C99" s="33"/>
      <c r="D99" s="33" t="s">
        <v>159</v>
      </c>
      <c r="E99" s="33" t="s">
        <v>159</v>
      </c>
      <c r="F99" s="47" t="s">
        <v>159</v>
      </c>
      <c r="G99" s="47"/>
      <c r="H99" s="33"/>
    </row>
    <row r="100" spans="1:8" ht="12.75">
      <c r="A100" s="34" t="s">
        <v>41</v>
      </c>
      <c r="B100" s="133"/>
      <c r="C100" s="33" t="s">
        <v>88</v>
      </c>
      <c r="D100" s="33"/>
      <c r="E100" s="33"/>
      <c r="F100" s="47"/>
      <c r="G100" s="47"/>
      <c r="H100" s="33"/>
    </row>
    <row r="101" spans="1:8" ht="12.75">
      <c r="A101" s="45"/>
      <c r="B101" s="45"/>
      <c r="C101" s="45"/>
      <c r="D101" s="33"/>
      <c r="E101" s="33"/>
      <c r="F101" s="52" t="e">
        <f>'Scenario #1'!#REF!</f>
        <v>#REF!</v>
      </c>
      <c r="G101" s="52"/>
      <c r="H101" s="50"/>
    </row>
    <row r="102" spans="1:8" ht="12.75">
      <c r="A102" s="45"/>
      <c r="B102" s="45"/>
      <c r="C102" s="45"/>
      <c r="D102" s="33"/>
      <c r="E102" s="33"/>
      <c r="F102" s="50"/>
      <c r="G102" s="50"/>
      <c r="H102" s="50"/>
    </row>
    <row r="103" spans="1:8" ht="12.75">
      <c r="A103" s="33" t="s">
        <v>159</v>
      </c>
      <c r="B103" s="33"/>
      <c r="C103" s="33"/>
      <c r="D103" s="33"/>
      <c r="E103" s="34" t="s">
        <v>211</v>
      </c>
      <c r="F103" s="54" t="e">
        <f>SUM(F101:F102)</f>
        <v>#REF!</v>
      </c>
      <c r="G103" s="54"/>
      <c r="H103" s="55"/>
    </row>
    <row r="104" spans="1:8" ht="12.75">
      <c r="A104" s="33" t="s">
        <v>159</v>
      </c>
      <c r="B104" s="33"/>
      <c r="C104" s="33"/>
      <c r="D104" s="34" t="s">
        <v>89</v>
      </c>
      <c r="E104" s="117"/>
      <c r="F104" s="54" t="e">
        <f>SUM(F81+F89+F96+F98+F103)</f>
        <v>#VALUE!</v>
      </c>
      <c r="G104" s="54"/>
      <c r="H104" s="55"/>
    </row>
    <row r="105" spans="1:8" ht="12.75">
      <c r="A105" s="33" t="s">
        <v>159</v>
      </c>
      <c r="B105" s="33"/>
      <c r="C105" s="33"/>
      <c r="D105" s="33"/>
      <c r="E105" s="33"/>
      <c r="F105" s="33" t="s">
        <v>159</v>
      </c>
      <c r="G105" s="131"/>
      <c r="H105" s="33" t="s">
        <v>159</v>
      </c>
    </row>
    <row r="106" spans="1:8" ht="12.75">
      <c r="A106" s="33" t="s">
        <v>95</v>
      </c>
      <c r="B106" s="33"/>
      <c r="C106" s="33"/>
      <c r="D106" s="33"/>
      <c r="E106" s="33"/>
      <c r="F106" s="33"/>
      <c r="G106" s="33"/>
      <c r="H106" s="33"/>
    </row>
    <row r="107" spans="1:8" ht="12.75">
      <c r="A107" s="33" t="s">
        <v>12</v>
      </c>
      <c r="B107" s="33"/>
      <c r="C107" s="33"/>
      <c r="D107" s="33"/>
      <c r="E107" s="33"/>
      <c r="F107" s="33"/>
      <c r="G107" s="33"/>
      <c r="H107" s="33"/>
    </row>
    <row r="108" spans="1:8" ht="12.75">
      <c r="A108" s="33" t="s">
        <v>159</v>
      </c>
      <c r="B108" s="33"/>
      <c r="C108" s="33"/>
      <c r="D108" s="33"/>
      <c r="E108" s="33"/>
      <c r="F108" s="33"/>
      <c r="G108" s="33"/>
      <c r="H108" s="33"/>
    </row>
    <row r="109" spans="1:8" ht="12.75">
      <c r="A109" s="33" t="s">
        <v>159</v>
      </c>
      <c r="B109" s="131"/>
      <c r="C109" s="34" t="s">
        <v>13</v>
      </c>
      <c r="D109" s="33"/>
      <c r="E109" s="33"/>
      <c r="F109" s="33"/>
      <c r="G109" s="33"/>
      <c r="H109" s="33"/>
    </row>
    <row r="110" spans="1:8" ht="12.75">
      <c r="A110" s="33" t="s">
        <v>159</v>
      </c>
      <c r="B110" s="34" t="s">
        <v>102</v>
      </c>
      <c r="C110" s="33"/>
      <c r="D110" s="33"/>
      <c r="E110" s="33"/>
      <c r="F110" s="33"/>
      <c r="G110" s="33"/>
      <c r="H110" s="33"/>
    </row>
    <row r="111" spans="1:8" ht="12.75">
      <c r="A111" s="33"/>
      <c r="B111" s="33"/>
      <c r="C111" s="34" t="s">
        <v>231</v>
      </c>
      <c r="D111" s="33"/>
      <c r="E111" s="33"/>
      <c r="F111" s="33"/>
      <c r="G111" s="33"/>
      <c r="H111" s="33"/>
    </row>
    <row r="112" spans="1:8" ht="12.75">
      <c r="A112" s="33" t="s">
        <v>29</v>
      </c>
      <c r="B112" s="34" t="s">
        <v>159</v>
      </c>
      <c r="C112" s="35" t="s">
        <v>219</v>
      </c>
      <c r="D112" s="35"/>
      <c r="E112" s="35"/>
      <c r="F112" s="33"/>
      <c r="G112" s="33"/>
      <c r="H112" s="33"/>
    </row>
    <row r="113" spans="1:8" ht="12.75">
      <c r="A113" s="129"/>
      <c r="B113" s="34" t="s">
        <v>109</v>
      </c>
      <c r="C113" s="33"/>
      <c r="D113" s="33"/>
      <c r="E113" s="33"/>
      <c r="F113" s="33"/>
      <c r="G113" s="33"/>
      <c r="H113" s="33"/>
    </row>
    <row r="114" spans="1:8" ht="12.75">
      <c r="A114" s="33"/>
      <c r="B114" s="33"/>
      <c r="C114" s="33"/>
      <c r="D114" s="33" t="s">
        <v>159</v>
      </c>
      <c r="E114" s="33"/>
      <c r="F114" s="33"/>
      <c r="G114" s="33"/>
      <c r="H114" s="33"/>
    </row>
    <row r="115" spans="1:8" ht="12.75">
      <c r="A115" s="33" t="s">
        <v>161</v>
      </c>
      <c r="B115" s="33"/>
      <c r="C115" s="33"/>
      <c r="D115" s="33"/>
      <c r="E115" s="33"/>
      <c r="F115" s="33"/>
      <c r="G115" s="33"/>
      <c r="H115" s="33"/>
    </row>
    <row r="116" spans="1:8" ht="12.75">
      <c r="A116" s="33" t="s">
        <v>162</v>
      </c>
      <c r="B116" s="33"/>
      <c r="C116" s="33"/>
      <c r="D116" s="33"/>
      <c r="E116" s="33"/>
      <c r="F116" s="33" t="s">
        <v>163</v>
      </c>
      <c r="G116" s="33"/>
      <c r="H116" s="33"/>
    </row>
    <row r="117" spans="1:8" ht="12.75">
      <c r="A117" s="33" t="s">
        <v>164</v>
      </c>
      <c r="B117" s="33"/>
      <c r="C117" s="33"/>
      <c r="D117" s="33"/>
      <c r="E117" s="33"/>
      <c r="F117" s="33"/>
      <c r="G117" s="33"/>
      <c r="H117" s="33"/>
    </row>
    <row r="118" spans="1:8" ht="12.75">
      <c r="A118" s="33" t="s">
        <v>165</v>
      </c>
      <c r="B118" s="33" t="s">
        <v>169</v>
      </c>
      <c r="C118" s="33"/>
      <c r="D118" s="33"/>
      <c r="E118" s="33"/>
      <c r="F118" s="33"/>
      <c r="G118" s="33"/>
      <c r="H118" s="33"/>
    </row>
    <row r="119" spans="1:8" ht="12.75">
      <c r="A119" s="33"/>
      <c r="B119" s="33"/>
      <c r="C119" s="33"/>
      <c r="D119" s="33"/>
      <c r="E119" s="33"/>
      <c r="F119" s="33"/>
      <c r="G119" s="33"/>
      <c r="H119" s="33"/>
    </row>
    <row r="120" spans="1:8" ht="12.75">
      <c r="A120" s="33" t="s">
        <v>62</v>
      </c>
      <c r="B120" s="33"/>
      <c r="C120" s="45"/>
      <c r="D120" s="45"/>
      <c r="E120" s="45"/>
      <c r="F120" s="45"/>
      <c r="G120" s="45"/>
      <c r="H120" s="45"/>
    </row>
    <row r="121" spans="1:8" ht="12.75">
      <c r="A121" s="45" t="s">
        <v>159</v>
      </c>
      <c r="B121" s="45"/>
      <c r="C121" s="45"/>
      <c r="D121" s="45"/>
      <c r="E121" s="45"/>
      <c r="F121" s="33" t="s">
        <v>63</v>
      </c>
      <c r="G121" s="45"/>
      <c r="H121" s="45"/>
    </row>
    <row r="122" spans="1:8" ht="12.75">
      <c r="A122" s="33"/>
      <c r="B122" s="33"/>
      <c r="C122" s="33"/>
      <c r="D122" s="33"/>
      <c r="E122" s="33"/>
      <c r="F122" s="33"/>
      <c r="G122" s="33"/>
      <c r="H122" s="33"/>
    </row>
    <row r="123" spans="1:8" ht="12.75">
      <c r="A123" s="34" t="s">
        <v>238</v>
      </c>
      <c r="B123" s="33"/>
      <c r="C123" s="33"/>
      <c r="D123" s="34" t="s">
        <v>68</v>
      </c>
      <c r="E123" s="34" t="s">
        <v>110</v>
      </c>
      <c r="F123" s="33"/>
      <c r="G123" s="34"/>
      <c r="H123" s="34" t="s">
        <v>111</v>
      </c>
    </row>
    <row r="124" spans="1:8" ht="12.75">
      <c r="A124" s="33" t="s">
        <v>112</v>
      </c>
      <c r="B124" s="33" t="s">
        <v>113</v>
      </c>
      <c r="C124" s="33" t="s">
        <v>159</v>
      </c>
      <c r="D124" s="46" t="e">
        <f>'Scenario #1'!#REF!</f>
        <v>#REF!</v>
      </c>
      <c r="E124" s="33"/>
      <c r="F124" s="46"/>
      <c r="G124" s="33" t="s">
        <v>159</v>
      </c>
      <c r="H124" s="131"/>
    </row>
    <row r="125" spans="1:8" ht="12.75">
      <c r="A125" s="33" t="s">
        <v>114</v>
      </c>
      <c r="B125" s="33"/>
      <c r="C125" s="33"/>
      <c r="D125" s="46" t="e">
        <f>'Scenario #1'!#REF!</f>
        <v>#REF!</v>
      </c>
      <c r="E125" s="33"/>
      <c r="F125" s="46"/>
      <c r="G125" s="33"/>
      <c r="H125" s="45"/>
    </row>
    <row r="126" spans="1:8" ht="12.75">
      <c r="A126" s="33" t="s">
        <v>115</v>
      </c>
      <c r="B126" s="120"/>
      <c r="C126" s="33" t="s">
        <v>159</v>
      </c>
      <c r="D126" s="46" t="e">
        <f>'Scenario #1'!#REF!</f>
        <v>#REF!</v>
      </c>
      <c r="E126" s="33"/>
      <c r="F126" s="46"/>
      <c r="G126" s="33" t="s">
        <v>159</v>
      </c>
      <c r="H126" s="131"/>
    </row>
    <row r="127" spans="1:8" ht="12.75">
      <c r="A127" s="33" t="s">
        <v>253</v>
      </c>
      <c r="B127" s="33"/>
      <c r="C127" s="33"/>
      <c r="D127" s="46" t="e">
        <f>'Scenario #1'!#REF!</f>
        <v>#REF!</v>
      </c>
      <c r="E127" s="33"/>
      <c r="F127" s="46"/>
      <c r="G127" s="33" t="s">
        <v>159</v>
      </c>
      <c r="H127" s="131"/>
    </row>
    <row r="128" spans="1:8" ht="12.75">
      <c r="A128" s="33" t="s">
        <v>241</v>
      </c>
      <c r="B128" s="33"/>
      <c r="C128" s="33"/>
      <c r="D128" s="46" t="e">
        <f>'Scenario #1'!#REF!</f>
        <v>#REF!</v>
      </c>
      <c r="E128" s="33"/>
      <c r="F128" s="46"/>
      <c r="G128" s="33"/>
      <c r="H128" s="45"/>
    </row>
    <row r="129" spans="1:8" ht="12.75">
      <c r="A129" s="33" t="s">
        <v>34</v>
      </c>
      <c r="B129" s="45"/>
      <c r="C129" s="45"/>
      <c r="D129" s="46" t="e">
        <f>'Scenario #1'!#REF!</f>
        <v>#REF!</v>
      </c>
      <c r="E129" s="33"/>
      <c r="F129" s="46"/>
      <c r="G129" s="33"/>
      <c r="H129" s="45"/>
    </row>
    <row r="130" spans="1:8" ht="12.75">
      <c r="A130" s="33" t="s">
        <v>159</v>
      </c>
      <c r="B130" s="33" t="s">
        <v>159</v>
      </c>
      <c r="C130" s="34" t="s">
        <v>254</v>
      </c>
      <c r="D130" s="48" t="e">
        <f>SUM(D124:D129)</f>
        <v>#REF!</v>
      </c>
      <c r="E130" s="33"/>
      <c r="F130" s="48"/>
      <c r="G130" s="33"/>
      <c r="H130" s="43"/>
    </row>
    <row r="131" spans="1:8" ht="12.75">
      <c r="A131" s="34" t="s">
        <v>243</v>
      </c>
      <c r="B131" s="33"/>
      <c r="C131" s="33"/>
      <c r="D131" s="47"/>
      <c r="E131" s="33"/>
      <c r="F131" s="47"/>
      <c r="G131" s="33"/>
      <c r="H131" s="33"/>
    </row>
    <row r="132" spans="1:8" ht="12.75">
      <c r="A132" s="33" t="s">
        <v>244</v>
      </c>
      <c r="B132" s="33" t="s">
        <v>309</v>
      </c>
      <c r="C132" s="120"/>
      <c r="D132" s="46" t="e">
        <f>'Scenario #1'!#REF!</f>
        <v>#REF!</v>
      </c>
      <c r="E132" s="33"/>
      <c r="F132" s="46"/>
      <c r="G132" s="33"/>
      <c r="H132" s="45"/>
    </row>
    <row r="133" spans="1:8" ht="12.75">
      <c r="A133" s="33" t="s">
        <v>45</v>
      </c>
      <c r="B133" s="33"/>
      <c r="C133" s="33"/>
      <c r="D133" s="46" t="e">
        <f>'Scenario #1'!#REF!</f>
        <v>#REF!</v>
      </c>
      <c r="E133" s="33"/>
      <c r="F133" s="46"/>
      <c r="G133" s="33"/>
      <c r="H133" s="45"/>
    </row>
    <row r="134" spans="1:8" ht="12.75">
      <c r="A134" s="33" t="s">
        <v>179</v>
      </c>
      <c r="B134" s="33"/>
      <c r="C134" s="33"/>
      <c r="D134" s="46" t="e">
        <f>'Scenario #1'!#REF!</f>
        <v>#REF!</v>
      </c>
      <c r="E134" s="33"/>
      <c r="F134" s="46"/>
      <c r="G134" s="33" t="s">
        <v>159</v>
      </c>
      <c r="H134" s="131"/>
    </row>
    <row r="135" spans="1:8" ht="12.75">
      <c r="A135" s="33"/>
      <c r="B135" s="33"/>
      <c r="C135" s="34" t="s">
        <v>180</v>
      </c>
      <c r="D135" s="48" t="e">
        <f>(D132+D133+D134)</f>
        <v>#REF!</v>
      </c>
      <c r="E135" s="33"/>
      <c r="F135" s="48"/>
      <c r="G135" s="33"/>
      <c r="H135" s="43"/>
    </row>
    <row r="136" spans="1:8" ht="12.75">
      <c r="A136" s="34" t="s">
        <v>172</v>
      </c>
      <c r="B136" s="33" t="s">
        <v>181</v>
      </c>
      <c r="C136" s="130"/>
      <c r="D136" s="47" t="s">
        <v>159</v>
      </c>
      <c r="E136" s="33"/>
      <c r="F136" s="47"/>
      <c r="G136" s="33"/>
      <c r="H136" s="33"/>
    </row>
    <row r="137" spans="1:8" ht="12.75">
      <c r="A137" s="33" t="s">
        <v>182</v>
      </c>
      <c r="B137" s="33"/>
      <c r="C137" s="33"/>
      <c r="D137" s="47"/>
      <c r="E137" s="33"/>
      <c r="F137" s="47"/>
      <c r="G137" s="33"/>
      <c r="H137" s="33"/>
    </row>
    <row r="138" spans="1:8" ht="12.75">
      <c r="A138" s="33" t="s">
        <v>183</v>
      </c>
      <c r="B138" s="33"/>
      <c r="C138" s="33"/>
      <c r="D138" s="47"/>
      <c r="E138" s="33"/>
      <c r="F138" s="47"/>
      <c r="G138" s="33"/>
      <c r="H138" s="33"/>
    </row>
    <row r="139" spans="1:8" ht="12.75">
      <c r="A139" s="33" t="s">
        <v>159</v>
      </c>
      <c r="B139" s="131"/>
      <c r="C139" s="34" t="s">
        <v>180</v>
      </c>
      <c r="D139" s="48" t="e">
        <f>'Scenario #1'!#REF!</f>
        <v>#REF!</v>
      </c>
      <c r="E139" s="33"/>
      <c r="F139" s="48"/>
      <c r="G139" s="33"/>
      <c r="H139" s="43"/>
    </row>
    <row r="140" spans="1:8" ht="12.75">
      <c r="A140" s="34" t="s">
        <v>176</v>
      </c>
      <c r="B140" s="33"/>
      <c r="C140" s="33"/>
      <c r="D140" s="47"/>
      <c r="E140" s="33" t="s">
        <v>159</v>
      </c>
      <c r="F140" s="47"/>
      <c r="G140" s="33"/>
      <c r="H140" s="33"/>
    </row>
    <row r="141" spans="1:8" ht="12.75">
      <c r="A141" s="33" t="s">
        <v>184</v>
      </c>
      <c r="B141" s="33"/>
      <c r="C141" s="33"/>
      <c r="D141" s="47"/>
      <c r="E141" s="33"/>
      <c r="F141" s="47"/>
      <c r="G141" s="33"/>
      <c r="H141" s="33"/>
    </row>
    <row r="142" spans="1:8" ht="12.75">
      <c r="A142" s="33" t="s">
        <v>159</v>
      </c>
      <c r="B142" s="131"/>
      <c r="C142" s="34" t="s">
        <v>180</v>
      </c>
      <c r="D142" s="48" t="e">
        <f>'Scenario #1'!#REF!</f>
        <v>#REF!</v>
      </c>
      <c r="E142" s="33"/>
      <c r="F142" s="48"/>
      <c r="G142" s="33"/>
      <c r="H142" s="43"/>
    </row>
    <row r="143" spans="1:8" ht="12.75">
      <c r="A143" s="34" t="s">
        <v>185</v>
      </c>
      <c r="B143" s="33"/>
      <c r="C143" s="33"/>
      <c r="D143" s="47"/>
      <c r="E143" s="33"/>
      <c r="F143" s="47"/>
      <c r="G143" s="33"/>
      <c r="H143" s="33"/>
    </row>
    <row r="144" spans="1:8" ht="12.75">
      <c r="A144" s="33" t="s">
        <v>186</v>
      </c>
      <c r="B144" s="33"/>
      <c r="C144" s="33"/>
      <c r="D144" s="46" t="e">
        <f>'Scenario #1'!#REF!</f>
        <v>#REF!</v>
      </c>
      <c r="E144" s="33"/>
      <c r="F144" s="46"/>
      <c r="G144" s="33"/>
      <c r="H144" s="45"/>
    </row>
    <row r="145" spans="1:8" ht="12.75">
      <c r="A145" s="33" t="s">
        <v>187</v>
      </c>
      <c r="B145" s="33"/>
      <c r="C145" s="33"/>
      <c r="D145" s="46" t="e">
        <f>'Scenario #1'!#REF!</f>
        <v>#REF!</v>
      </c>
      <c r="E145" s="33"/>
      <c r="F145" s="46"/>
      <c r="G145" s="33"/>
      <c r="H145" s="45"/>
    </row>
    <row r="146" spans="1:8" ht="12.75">
      <c r="A146" s="33" t="s">
        <v>51</v>
      </c>
      <c r="B146" s="33"/>
      <c r="C146" s="33"/>
      <c r="D146" s="46" t="e">
        <f>'Scenario #1'!#REF!</f>
        <v>#REF!</v>
      </c>
      <c r="E146" s="33"/>
      <c r="F146" s="46"/>
      <c r="G146" s="33"/>
      <c r="H146" s="45"/>
    </row>
    <row r="147" spans="1:8" ht="12.75">
      <c r="A147" s="33" t="s">
        <v>3</v>
      </c>
      <c r="B147" s="33"/>
      <c r="C147" s="33"/>
      <c r="D147" s="46" t="e">
        <f>'Scenario #1'!#REF!</f>
        <v>#REF!</v>
      </c>
      <c r="E147" s="33"/>
      <c r="F147" s="46"/>
      <c r="G147" s="33" t="s">
        <v>159</v>
      </c>
      <c r="H147" s="131"/>
    </row>
    <row r="148" spans="1:8" ht="12.75">
      <c r="A148" s="33" t="s">
        <v>188</v>
      </c>
      <c r="B148" s="33"/>
      <c r="C148" s="33"/>
      <c r="D148" s="46" t="e">
        <f>'Scenario #1'!#REF!</f>
        <v>#REF!</v>
      </c>
      <c r="E148" s="33"/>
      <c r="F148" s="46"/>
      <c r="G148" s="33" t="s">
        <v>159</v>
      </c>
      <c r="H148" s="131"/>
    </row>
    <row r="149" spans="1:8" ht="12.75">
      <c r="A149" s="33" t="s">
        <v>189</v>
      </c>
      <c r="B149" s="33"/>
      <c r="C149" s="33"/>
      <c r="D149" s="46" t="e">
        <f>'Scenario #1'!#REF!</f>
        <v>#REF!</v>
      </c>
      <c r="E149" s="33"/>
      <c r="F149" s="46"/>
      <c r="G149" s="33"/>
      <c r="H149" s="45"/>
    </row>
    <row r="150" spans="1:8" ht="12.75">
      <c r="A150" s="33" t="s">
        <v>177</v>
      </c>
      <c r="B150" s="33"/>
      <c r="C150" s="33"/>
      <c r="D150" s="46" t="e">
        <f>'Scenario #1'!#REF!</f>
        <v>#REF!</v>
      </c>
      <c r="E150" s="33"/>
      <c r="F150" s="46"/>
      <c r="G150" s="33"/>
      <c r="H150" s="45"/>
    </row>
    <row r="151" spans="1:8" ht="12.75">
      <c r="A151" s="33" t="s">
        <v>145</v>
      </c>
      <c r="B151" s="121"/>
      <c r="C151" s="33" t="s">
        <v>159</v>
      </c>
      <c r="D151" s="46" t="e">
        <f>'Scenario #1'!#REF!</f>
        <v>#REF!</v>
      </c>
      <c r="E151" s="33"/>
      <c r="F151" s="46"/>
      <c r="G151" s="33"/>
      <c r="H151" s="45"/>
    </row>
    <row r="152" spans="1:8" ht="12.75">
      <c r="A152" s="33" t="s">
        <v>146</v>
      </c>
      <c r="B152" s="33"/>
      <c r="C152" s="33"/>
      <c r="D152" s="46" t="e">
        <f>'Scenario #1'!#REF!</f>
        <v>#REF!</v>
      </c>
      <c r="E152" s="33"/>
      <c r="F152" s="46"/>
      <c r="G152" s="33"/>
      <c r="H152" s="45"/>
    </row>
    <row r="153" spans="1:8" ht="12.75">
      <c r="A153" s="33" t="s">
        <v>147</v>
      </c>
      <c r="B153" s="33"/>
      <c r="C153" s="33"/>
      <c r="D153" s="46" t="e">
        <f>'Scenario #1'!#REF!</f>
        <v>#REF!</v>
      </c>
      <c r="E153" s="33"/>
      <c r="F153" s="46"/>
      <c r="G153" s="33"/>
      <c r="H153" s="45"/>
    </row>
    <row r="154" spans="1:8" ht="12.75">
      <c r="A154" s="33" t="s">
        <v>77</v>
      </c>
      <c r="B154" s="33"/>
      <c r="C154" s="33"/>
      <c r="D154" s="46" t="e">
        <f>'Scenario #1'!#REF!</f>
        <v>#REF!</v>
      </c>
      <c r="E154" s="33"/>
      <c r="F154" s="46"/>
      <c r="G154" s="33"/>
      <c r="H154" s="45"/>
    </row>
    <row r="155" spans="1:8" ht="12.75">
      <c r="A155" s="33"/>
      <c r="B155" s="33"/>
      <c r="C155" s="33"/>
      <c r="D155" s="46"/>
      <c r="E155" s="33"/>
      <c r="F155" s="46"/>
      <c r="G155" s="33"/>
      <c r="H155" s="45"/>
    </row>
    <row r="156" spans="1:8" ht="12.75">
      <c r="A156" s="33" t="s">
        <v>159</v>
      </c>
      <c r="B156" s="131"/>
      <c r="C156" s="34" t="s">
        <v>180</v>
      </c>
      <c r="D156" s="48" t="e">
        <f>SUM(D144:D155)</f>
        <v>#REF!</v>
      </c>
      <c r="E156" s="33"/>
      <c r="F156" s="48"/>
      <c r="G156" s="33"/>
      <c r="H156" s="43"/>
    </row>
    <row r="157" spans="1:8" ht="12.75">
      <c r="A157" s="34" t="s">
        <v>41</v>
      </c>
      <c r="B157" s="33"/>
      <c r="C157" s="33"/>
      <c r="D157" s="47"/>
      <c r="E157" s="33"/>
      <c r="F157" s="47"/>
      <c r="G157" s="33"/>
      <c r="H157" s="33"/>
    </row>
    <row r="158" spans="1:8" ht="12.75">
      <c r="A158" s="33" t="s">
        <v>78</v>
      </c>
      <c r="B158" s="33"/>
      <c r="C158" s="33"/>
      <c r="D158" s="46" t="e">
        <f>'Scenario #1'!#REF!</f>
        <v>#REF!</v>
      </c>
      <c r="E158" s="33"/>
      <c r="F158" s="46"/>
      <c r="G158" s="33"/>
      <c r="H158" s="45"/>
    </row>
    <row r="159" spans="1:8" ht="12.75">
      <c r="A159" s="33" t="s">
        <v>148</v>
      </c>
      <c r="B159" s="33"/>
      <c r="C159" s="33"/>
      <c r="D159" s="46" t="e">
        <f>'Scenario #1'!#REF!</f>
        <v>#REF!</v>
      </c>
      <c r="E159" s="33"/>
      <c r="F159" s="46"/>
      <c r="G159" s="33"/>
      <c r="H159" s="45"/>
    </row>
    <row r="160" spans="1:8" ht="12.75">
      <c r="A160" s="33" t="s">
        <v>159</v>
      </c>
      <c r="B160" s="131"/>
      <c r="C160" s="34" t="s">
        <v>180</v>
      </c>
      <c r="D160" s="48" t="e">
        <f>(D158+D159)</f>
        <v>#REF!</v>
      </c>
      <c r="E160" s="33"/>
      <c r="F160" s="48"/>
      <c r="G160" s="33"/>
      <c r="H160" s="43"/>
    </row>
    <row r="161" spans="1:8" ht="12.75">
      <c r="A161" s="134"/>
      <c r="B161" s="34" t="s">
        <v>149</v>
      </c>
      <c r="C161" s="135"/>
      <c r="D161" s="48" t="e">
        <f>(D130+D135+D139+D142+D156+D160)</f>
        <v>#REF!</v>
      </c>
      <c r="E161" s="33"/>
      <c r="F161" s="48"/>
      <c r="G161" s="33"/>
      <c r="H161" s="43"/>
    </row>
    <row r="162" spans="1:8" ht="12.75">
      <c r="A162" s="33" t="s">
        <v>159</v>
      </c>
      <c r="B162" s="33"/>
      <c r="C162" s="33"/>
      <c r="D162" s="33"/>
      <c r="E162" s="33"/>
      <c r="F162" s="33"/>
      <c r="G162" s="33" t="s">
        <v>159</v>
      </c>
      <c r="H162" s="131"/>
    </row>
    <row r="163" spans="1:8" ht="12.75">
      <c r="A163" s="33" t="s">
        <v>95</v>
      </c>
      <c r="B163" s="33"/>
      <c r="C163" s="33"/>
      <c r="D163" s="33"/>
      <c r="E163" s="33"/>
      <c r="F163" s="33"/>
      <c r="G163" s="33"/>
      <c r="H163" s="33"/>
    </row>
    <row r="164" spans="1:8" ht="12.75">
      <c r="A164" s="33" t="s">
        <v>12</v>
      </c>
      <c r="B164" s="33"/>
      <c r="C164" s="33"/>
      <c r="D164" s="33"/>
      <c r="E164" s="33"/>
      <c r="F164" s="33"/>
      <c r="G164" s="33"/>
      <c r="H164" s="33"/>
    </row>
    <row r="165" spans="1:8" ht="7.5" customHeight="1">
      <c r="A165" s="33"/>
      <c r="B165" s="33"/>
      <c r="C165" s="33"/>
      <c r="D165" s="33"/>
      <c r="E165" s="33"/>
      <c r="F165" s="33"/>
      <c r="G165" s="33"/>
      <c r="H165" s="33"/>
    </row>
    <row r="166" spans="1:8" ht="12.75">
      <c r="A166" s="33"/>
      <c r="B166" s="33"/>
      <c r="C166" s="34" t="s">
        <v>13</v>
      </c>
      <c r="D166" s="33"/>
      <c r="E166" s="33"/>
      <c r="F166" s="33"/>
      <c r="G166" s="33"/>
      <c r="H166" s="33"/>
    </row>
    <row r="167" spans="1:8" ht="12.75">
      <c r="A167" s="33" t="s">
        <v>159</v>
      </c>
      <c r="B167" s="34" t="s">
        <v>102</v>
      </c>
      <c r="C167" s="33"/>
      <c r="D167" s="33"/>
      <c r="E167" s="33"/>
      <c r="F167" s="33"/>
      <c r="G167" s="33"/>
      <c r="H167" s="33"/>
    </row>
    <row r="168" spans="1:8" ht="12.75">
      <c r="A168" s="33"/>
      <c r="B168" s="33"/>
      <c r="C168" s="34" t="s">
        <v>231</v>
      </c>
      <c r="D168" s="33"/>
      <c r="E168" s="33"/>
      <c r="F168" s="33"/>
      <c r="G168" s="33"/>
      <c r="H168" s="33"/>
    </row>
    <row r="169" spans="1:8" ht="12.75">
      <c r="A169" s="33"/>
      <c r="B169" s="33"/>
      <c r="C169" s="33"/>
      <c r="D169" s="34" t="s">
        <v>176</v>
      </c>
      <c r="E169" s="33"/>
      <c r="F169" s="33"/>
      <c r="G169" s="33"/>
      <c r="H169" s="33"/>
    </row>
    <row r="170" spans="1:8" ht="12.75">
      <c r="A170" s="33"/>
      <c r="B170" s="33"/>
      <c r="C170" s="33"/>
      <c r="D170" s="33"/>
      <c r="E170" s="33"/>
      <c r="F170" s="33" t="s">
        <v>138</v>
      </c>
      <c r="G170" s="33" t="s">
        <v>150</v>
      </c>
      <c r="H170" s="33" t="s">
        <v>190</v>
      </c>
    </row>
    <row r="171" spans="1:8" ht="12.75">
      <c r="A171" s="33" t="s">
        <v>26</v>
      </c>
      <c r="B171" s="33"/>
      <c r="C171" s="33"/>
      <c r="D171" s="33"/>
      <c r="E171" s="33"/>
      <c r="F171" s="33"/>
      <c r="G171" s="33"/>
      <c r="H171" s="33"/>
    </row>
    <row r="172" spans="1:8" ht="12.75">
      <c r="A172" s="33" t="s">
        <v>90</v>
      </c>
      <c r="B172" s="33"/>
      <c r="C172" s="33"/>
      <c r="D172" s="33"/>
      <c r="E172" s="33"/>
      <c r="F172" s="57" t="e">
        <f>'Scenario #1'!#REF!</f>
        <v>#REF!</v>
      </c>
      <c r="G172" s="58"/>
      <c r="H172" s="58"/>
    </row>
    <row r="173" spans="1:8" ht="12.75">
      <c r="A173" s="33" t="s">
        <v>159</v>
      </c>
      <c r="B173" s="33" t="s">
        <v>159</v>
      </c>
      <c r="C173" s="33"/>
      <c r="D173" s="33"/>
      <c r="E173" s="33"/>
      <c r="F173" s="33"/>
      <c r="G173" s="33"/>
      <c r="H173" s="33"/>
    </row>
    <row r="174" spans="1:8" ht="12.75">
      <c r="A174" s="33" t="s">
        <v>91</v>
      </c>
      <c r="B174" s="33"/>
      <c r="C174" s="33"/>
      <c r="D174" s="33"/>
      <c r="E174" s="33"/>
      <c r="F174" s="33"/>
      <c r="G174" s="33"/>
      <c r="H174" s="33"/>
    </row>
    <row r="175" spans="1:8" ht="12.75">
      <c r="A175" s="33" t="s">
        <v>92</v>
      </c>
      <c r="B175" s="33"/>
      <c r="C175" s="33"/>
      <c r="D175" s="33"/>
      <c r="E175" s="33"/>
      <c r="F175" s="57" t="e">
        <f>'Scenario #1'!#REF!</f>
        <v>#REF!</v>
      </c>
      <c r="G175" s="58"/>
      <c r="H175" s="58"/>
    </row>
    <row r="176" spans="1:8" ht="12.75">
      <c r="A176" s="33"/>
      <c r="B176" s="33"/>
      <c r="C176" s="33"/>
      <c r="D176" s="33"/>
      <c r="E176" s="33"/>
      <c r="F176" s="33"/>
      <c r="G176" s="33"/>
      <c r="H176" s="33"/>
    </row>
    <row r="177" spans="1:8" ht="12.75">
      <c r="A177" s="33" t="s">
        <v>206</v>
      </c>
      <c r="B177" s="33"/>
      <c r="C177" s="33"/>
      <c r="D177" s="33"/>
      <c r="E177" s="33"/>
      <c r="F177" s="33"/>
      <c r="G177" s="33"/>
      <c r="H177" s="33"/>
    </row>
    <row r="178" spans="1:8" ht="12.75">
      <c r="A178" s="33" t="s">
        <v>207</v>
      </c>
      <c r="B178" s="33"/>
      <c r="C178" s="33"/>
      <c r="D178" s="33"/>
      <c r="E178" s="33"/>
      <c r="F178" s="57" t="e">
        <f>'Scenario #1'!#REF!</f>
        <v>#REF!</v>
      </c>
      <c r="G178" s="58"/>
      <c r="H178" s="58"/>
    </row>
    <row r="179" spans="1:8" ht="12.75">
      <c r="A179" s="33"/>
      <c r="B179" s="33"/>
      <c r="C179" s="33"/>
      <c r="D179" s="33"/>
      <c r="E179" s="33"/>
      <c r="F179" s="33"/>
      <c r="G179" s="33"/>
      <c r="H179" s="33"/>
    </row>
    <row r="180" spans="1:8" ht="12.75">
      <c r="A180" s="59" t="s">
        <v>208</v>
      </c>
      <c r="B180" s="33"/>
      <c r="C180" s="33"/>
      <c r="D180" s="33"/>
      <c r="E180" s="33"/>
      <c r="F180" s="47"/>
      <c r="G180" s="47"/>
      <c r="H180" s="33"/>
    </row>
    <row r="181" spans="1:8" ht="12.75">
      <c r="A181" s="33" t="s">
        <v>247</v>
      </c>
      <c r="B181" s="33"/>
      <c r="C181" s="33"/>
      <c r="D181" s="33"/>
      <c r="E181" s="33"/>
      <c r="F181" s="57" t="e">
        <f>'Scenario #1'!#REF!</f>
        <v>#REF!</v>
      </c>
      <c r="G181" s="58"/>
      <c r="H181" s="58"/>
    </row>
    <row r="182" spans="1:8" ht="12.75">
      <c r="A182" s="33"/>
      <c r="B182" s="33"/>
      <c r="C182" s="33"/>
      <c r="D182" s="33"/>
      <c r="E182" s="33"/>
      <c r="F182" s="33"/>
      <c r="G182" s="33"/>
      <c r="H182" s="33"/>
    </row>
    <row r="183" spans="1:8" ht="12.75">
      <c r="A183" s="33" t="s">
        <v>248</v>
      </c>
      <c r="B183" s="33"/>
      <c r="C183" s="33"/>
      <c r="D183" s="33"/>
      <c r="E183" s="33"/>
      <c r="F183" s="33"/>
      <c r="G183" s="33"/>
      <c r="H183" s="33"/>
    </row>
    <row r="184" spans="1:8" ht="12.75">
      <c r="A184" s="33" t="s">
        <v>60</v>
      </c>
      <c r="B184" s="33"/>
      <c r="C184" s="33"/>
      <c r="D184" s="33"/>
      <c r="E184" s="33"/>
      <c r="F184" s="57" t="e">
        <f>'Scenario #1'!#REF!</f>
        <v>#REF!</v>
      </c>
      <c r="G184" s="58"/>
      <c r="H184" s="58"/>
    </row>
    <row r="185" spans="1:8" ht="12.75">
      <c r="A185" s="33"/>
      <c r="B185" s="33"/>
      <c r="C185" s="33"/>
      <c r="D185" s="33"/>
      <c r="E185" s="33"/>
      <c r="F185" s="33"/>
      <c r="G185" s="33"/>
      <c r="H185" s="33"/>
    </row>
    <row r="186" spans="1:8" ht="12.75">
      <c r="A186" s="33" t="s">
        <v>61</v>
      </c>
      <c r="B186" s="33"/>
      <c r="C186" s="33"/>
      <c r="D186" s="33"/>
      <c r="E186" s="33"/>
      <c r="F186" s="57" t="e">
        <f>'Scenario #1'!#REF!</f>
        <v>#REF!</v>
      </c>
      <c r="G186" s="58"/>
      <c r="H186" s="58"/>
    </row>
    <row r="187" spans="1:8" ht="12.75">
      <c r="A187" s="33" t="s">
        <v>209</v>
      </c>
      <c r="B187" s="33"/>
      <c r="C187" s="33"/>
      <c r="D187" s="33"/>
      <c r="E187" s="33"/>
      <c r="F187" s="33"/>
      <c r="G187" s="33"/>
      <c r="H187" s="33"/>
    </row>
    <row r="188" spans="1:8" ht="12.75">
      <c r="A188" s="33" t="s">
        <v>210</v>
      </c>
      <c r="B188" s="33"/>
      <c r="C188" s="33"/>
      <c r="D188" s="33"/>
      <c r="E188" s="33"/>
      <c r="F188" s="33"/>
      <c r="G188" s="33"/>
      <c r="H188" s="33"/>
    </row>
    <row r="189" spans="1:8" ht="12.75">
      <c r="A189" s="33" t="s">
        <v>96</v>
      </c>
      <c r="B189" s="33"/>
      <c r="C189" s="33"/>
      <c r="D189" s="33"/>
      <c r="E189" s="33"/>
      <c r="F189" s="33"/>
      <c r="G189" s="33"/>
      <c r="H189" s="33"/>
    </row>
    <row r="190" spans="1:8" ht="12.75">
      <c r="A190" s="33" t="s">
        <v>97</v>
      </c>
      <c r="B190" s="33"/>
      <c r="C190" s="33"/>
      <c r="D190" s="33"/>
      <c r="E190" s="33"/>
      <c r="F190" s="33"/>
      <c r="G190" s="33"/>
      <c r="H190" s="33"/>
    </row>
    <row r="191" spans="1:8" ht="12.75">
      <c r="A191" s="33"/>
      <c r="B191" s="33"/>
      <c r="C191" s="33"/>
      <c r="D191" s="33"/>
      <c r="E191" s="33"/>
      <c r="F191" s="33"/>
      <c r="G191" s="33"/>
      <c r="H191" s="33"/>
    </row>
    <row r="192" spans="1:8" ht="12.75">
      <c r="A192" s="33" t="s">
        <v>8</v>
      </c>
      <c r="B192" s="33"/>
      <c r="C192" s="33"/>
      <c r="D192" s="33"/>
      <c r="E192" s="33"/>
      <c r="F192" s="57" t="e">
        <f>B193+D193+C194</f>
        <v>#REF!</v>
      </c>
      <c r="G192" s="58"/>
      <c r="H192" s="60"/>
    </row>
    <row r="193" spans="1:8" ht="25.5">
      <c r="A193" s="3" t="s">
        <v>9</v>
      </c>
      <c r="B193" s="61" t="e">
        <f>'Scenario #1'!#REF!</f>
        <v>#REF!</v>
      </c>
      <c r="C193" s="3" t="s">
        <v>10</v>
      </c>
      <c r="D193" s="62" t="e">
        <f>'Scenario #1'!#REF!</f>
        <v>#REF!</v>
      </c>
      <c r="E193" s="33"/>
      <c r="F193" s="33"/>
      <c r="G193" s="33"/>
      <c r="H193" s="33"/>
    </row>
    <row r="194" spans="1:8" ht="51">
      <c r="A194" s="3" t="s">
        <v>11</v>
      </c>
      <c r="B194" s="121"/>
      <c r="C194" s="62" t="e">
        <f>'Scenario #1'!#REF!</f>
        <v>#REF!</v>
      </c>
      <c r="D194" s="33"/>
      <c r="E194" s="62"/>
      <c r="F194" s="33"/>
      <c r="G194" s="33"/>
      <c r="H194" s="33"/>
    </row>
    <row r="195" spans="1:8" ht="12.75">
      <c r="A195" s="33"/>
      <c r="B195" s="33"/>
      <c r="C195" s="33"/>
      <c r="D195" s="33"/>
      <c r="E195" s="33"/>
      <c r="F195" s="33"/>
      <c r="G195" s="33"/>
      <c r="H195" s="33"/>
    </row>
    <row r="196" spans="1:8" ht="12.75">
      <c r="A196" s="33"/>
      <c r="B196" s="33"/>
      <c r="C196" s="33"/>
      <c r="D196" s="33"/>
      <c r="E196" s="33"/>
      <c r="F196" s="33"/>
      <c r="G196" s="33"/>
      <c r="H196" s="33"/>
    </row>
    <row r="197" spans="1:8" ht="12.75">
      <c r="A197" s="128"/>
      <c r="B197" s="34" t="s">
        <v>220</v>
      </c>
      <c r="C197" s="33"/>
      <c r="D197" s="33"/>
      <c r="E197" s="33"/>
      <c r="F197" s="63" t="e">
        <f>(F172+F175+F178+F181+F184+F186+F192)</f>
        <v>#REF!</v>
      </c>
      <c r="G197" s="64"/>
      <c r="H197" s="64"/>
    </row>
    <row r="198" spans="1:8" ht="12.75">
      <c r="A198" s="33"/>
      <c r="B198" s="33"/>
      <c r="C198" s="33"/>
      <c r="D198" s="33"/>
      <c r="E198" s="33"/>
      <c r="F198" s="33"/>
      <c r="G198" s="33"/>
      <c r="H198" s="33"/>
    </row>
    <row r="199" spans="1:8" ht="12.75">
      <c r="A199" s="128"/>
      <c r="B199" s="34" t="s">
        <v>221</v>
      </c>
      <c r="C199" s="33"/>
      <c r="D199" s="33"/>
      <c r="E199" s="33"/>
      <c r="F199" s="65"/>
      <c r="G199" s="66"/>
      <c r="H199" s="66"/>
    </row>
    <row r="200" spans="1:8" ht="12.75">
      <c r="A200" s="128"/>
      <c r="B200" s="33" t="s">
        <v>98</v>
      </c>
      <c r="C200" s="33"/>
      <c r="D200" s="33"/>
      <c r="E200" s="33"/>
      <c r="F200" s="33"/>
      <c r="G200" s="33"/>
      <c r="H200" s="33"/>
    </row>
    <row r="201" spans="1:8" ht="12.75">
      <c r="A201" s="33"/>
      <c r="B201" s="33"/>
      <c r="C201" s="33"/>
      <c r="D201" s="33"/>
      <c r="E201" s="33"/>
      <c r="F201" s="33"/>
      <c r="G201" s="33"/>
      <c r="H201" s="33"/>
    </row>
    <row r="202" spans="1:8" ht="12.75">
      <c r="A202" s="33" t="s">
        <v>116</v>
      </c>
      <c r="B202" s="33"/>
      <c r="C202" s="33"/>
      <c r="D202" s="33"/>
      <c r="E202" s="33"/>
      <c r="F202" s="33"/>
      <c r="G202" s="33"/>
      <c r="H202" s="33"/>
    </row>
    <row r="203" spans="1:8" ht="3.75" customHeight="1">
      <c r="A203" s="33"/>
      <c r="B203" s="33"/>
      <c r="C203" s="33"/>
      <c r="D203" s="33"/>
      <c r="E203" s="33"/>
      <c r="F203" s="33"/>
      <c r="G203" s="33"/>
      <c r="H203" s="33"/>
    </row>
    <row r="204" spans="1:8" ht="12.75">
      <c r="A204" s="33" t="s">
        <v>39</v>
      </c>
      <c r="B204" s="33"/>
      <c r="C204" s="33"/>
      <c r="D204" s="33"/>
      <c r="E204" s="33"/>
      <c r="F204" s="33"/>
      <c r="G204" s="33"/>
      <c r="H204" s="33"/>
    </row>
    <row r="205" spans="1:8" ht="4.5" customHeight="1">
      <c r="A205" s="33"/>
      <c r="B205" s="33"/>
      <c r="C205" s="33"/>
      <c r="D205" s="33"/>
      <c r="E205" s="33"/>
      <c r="F205" s="33"/>
      <c r="G205" s="33"/>
      <c r="H205" s="33"/>
    </row>
    <row r="206" spans="1:8" ht="12.75">
      <c r="A206" s="33" t="s">
        <v>40</v>
      </c>
      <c r="B206" s="33"/>
      <c r="C206" s="33"/>
      <c r="D206" s="33"/>
      <c r="E206" s="33"/>
      <c r="F206" s="33"/>
      <c r="G206" s="33"/>
      <c r="H206" s="33"/>
    </row>
    <row r="207" spans="1:8" ht="12.75">
      <c r="A207" s="33"/>
      <c r="B207" s="33"/>
      <c r="C207" s="33"/>
      <c r="D207" s="33"/>
      <c r="E207" s="33"/>
      <c r="F207" s="33"/>
      <c r="G207" s="33"/>
      <c r="H207" s="33"/>
    </row>
    <row r="208" spans="1:8" ht="12.75">
      <c r="A208" s="33"/>
      <c r="B208" s="33"/>
      <c r="C208" s="34" t="s">
        <v>178</v>
      </c>
      <c r="D208" s="33"/>
      <c r="E208" s="33"/>
      <c r="F208" s="33"/>
      <c r="G208" s="33"/>
      <c r="H208" s="33"/>
    </row>
    <row r="209" spans="1:8" ht="12.75">
      <c r="A209" s="62" t="s">
        <v>159</v>
      </c>
      <c r="B209" s="34" t="s">
        <v>74</v>
      </c>
      <c r="C209" s="34"/>
      <c r="D209" s="33"/>
      <c r="E209" s="33"/>
      <c r="F209" s="33"/>
      <c r="G209" s="33"/>
      <c r="H209" s="33"/>
    </row>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Muriel Medard</cp:lastModifiedBy>
  <cp:lastPrinted>2005-08-25T19:49:00Z</cp:lastPrinted>
  <dcterms:created xsi:type="dcterms:W3CDTF">2001-01-11T19:56:13Z</dcterms:created>
  <dcterms:modified xsi:type="dcterms:W3CDTF">2005-09-05T11:08:30Z</dcterms:modified>
  <cp:category/>
  <cp:version/>
  <cp:contentType/>
  <cp:contentStatus/>
</cp:coreProperties>
</file>